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75" windowWidth="11340" windowHeight="7005" tabRatio="836" activeTab="0"/>
  </bookViews>
  <sheets>
    <sheet name="Biêu 96" sheetId="1" r:id="rId1"/>
    <sheet name="Bieu 97" sheetId="2" r:id="rId2"/>
    <sheet name="Bieu 98" sheetId="3" r:id="rId3"/>
    <sheet name="Bieu 99" sheetId="4" r:id="rId4"/>
    <sheet name="bieu 100" sheetId="5" r:id="rId5"/>
    <sheet name="bieu 101" sheetId="6" r:id="rId6"/>
    <sheet name="Bieu 102" sheetId="7" r:id="rId7"/>
    <sheet name="Bieu " sheetId="8" r:id="rId8"/>
  </sheets>
  <externalReferences>
    <externalReference r:id="rId11"/>
    <externalReference r:id="rId12"/>
    <externalReference r:id="rId13"/>
  </externalReferences>
  <definedNames>
    <definedName name="chuong_phuluc_55" localSheetId="7">'Bieu '!$T$1</definedName>
    <definedName name="chuong_phuluc_55_name" localSheetId="7">'Bieu '!$A$5</definedName>
    <definedName name="chuong_phuluc_59_name" localSheetId="4">'bieu 100'!$A$4</definedName>
    <definedName name="chuong_phuluc_61" localSheetId="6">'Bieu 102'!#REF!</definedName>
    <definedName name="chuong_phuluc_61_name" localSheetId="6">'Bieu 102'!$A$4</definedName>
    <definedName name="DamNgang">'[1]03 STC'!$D$7</definedName>
    <definedName name="_xlnm.Print_Area" localSheetId="7">'Bieu '!$A$1:$T$47</definedName>
    <definedName name="_xlnm.Print_Area" localSheetId="4">'bieu 100'!$A$1:$AA$129</definedName>
    <definedName name="_xlnm.Print_Area" localSheetId="6">'Bieu 102'!$A$1:$BE$42</definedName>
    <definedName name="_xlnm.Print_Area" localSheetId="0">'Biêu 96'!$A$1:$F$32</definedName>
    <definedName name="_xlnm.Print_Area" localSheetId="1">'Bieu 97'!$A$1:$L$111</definedName>
    <definedName name="_xlnm.Print_Titles" localSheetId="7">'Bieu '!$8:$11</definedName>
    <definedName name="_xlnm.Print_Titles" localSheetId="4">'bieu 100'!$7:$9</definedName>
    <definedName name="_xlnm.Print_Titles" localSheetId="6">'Bieu 102'!$A:$B,'Bieu 102'!$8:$13</definedName>
    <definedName name="_xlnm.Print_Titles" localSheetId="1">'Bieu 97'!$7:$9</definedName>
    <definedName name="_xlnm.Print_Titles" localSheetId="2">'Bieu 98'!$7:$9</definedName>
    <definedName name="_xlnm.Print_Titles" localSheetId="3">'Bieu 99'!$7:$8</definedName>
  </definedNames>
  <calcPr fullCalcOnLoad="1"/>
</workbook>
</file>

<file path=xl/sharedStrings.xml><?xml version="1.0" encoding="utf-8"?>
<sst xmlns="http://schemas.openxmlformats.org/spreadsheetml/2006/main" count="852" uniqueCount="440">
  <si>
    <t>Phần thu</t>
  </si>
  <si>
    <t>Tổng số</t>
  </si>
  <si>
    <t>Thu NS cấp tỉnh</t>
  </si>
  <si>
    <t>Thu NS cấp huyện</t>
  </si>
  <si>
    <t>Chi NS cấp tỉnh</t>
  </si>
  <si>
    <t>Chi NS cấp huyện</t>
  </si>
  <si>
    <t>Chi NS xã</t>
  </si>
  <si>
    <t>STT</t>
  </si>
  <si>
    <t>Nội dung</t>
  </si>
  <si>
    <t>Dự toán năm</t>
  </si>
  <si>
    <t>Quyết toán năm</t>
  </si>
  <si>
    <t>Phân chia theo từng cấp ngân sách</t>
  </si>
  <si>
    <t>So sánh QT/DT (%)</t>
  </si>
  <si>
    <t>Cấp trên giao</t>
  </si>
  <si>
    <t>HĐND quyết định</t>
  </si>
  <si>
    <t>Thu NS TW</t>
  </si>
  <si>
    <t>A</t>
  </si>
  <si>
    <t>B</t>
  </si>
  <si>
    <t>3=4+5+6+7</t>
  </si>
  <si>
    <t>8=3/1</t>
  </si>
  <si>
    <t>9=3/2</t>
  </si>
  <si>
    <t>TỔNG SỐ (A+B+C+D+E)</t>
  </si>
  <si>
    <t>THU NGÂN SÁCH NHÀ NƯỚC</t>
  </si>
  <si>
    <t>- Thuế giá trị gia tăng</t>
  </si>
  <si>
    <t>- Thuế thu nhập doanh nghiệp</t>
  </si>
  <si>
    <t>- Thuế tiêu thụ đặc biệt</t>
  </si>
  <si>
    <t>- Thuế tài nguyên</t>
  </si>
  <si>
    <t>Thu từ khu vực doanh nghiệp có vốn đầu tư nước ngoài</t>
  </si>
  <si>
    <t xml:space="preserve">- Thu từ khí thiên nhiên </t>
  </si>
  <si>
    <t>Thu từ khu vực kinh tế ngoài quốc doanh</t>
  </si>
  <si>
    <t>Thuế sử dụng đất phi nông nghiệp</t>
  </si>
  <si>
    <t>Thuế thu nhập cá nhân</t>
  </si>
  <si>
    <t>Thuế bảo vệ môi trường</t>
  </si>
  <si>
    <t>Trong đó: - Thu từ hàng hóa nhập khẩu</t>
  </si>
  <si>
    <t>- Thu từ hàng hóa sản xuất trong nước</t>
  </si>
  <si>
    <t>Phí, lệ phí</t>
  </si>
  <si>
    <t>Bao gồm: - Phí, lệ phí do cơ quan nhà nước trung ương thu</t>
  </si>
  <si>
    <t>Trong đó: - Thu do cơ quan, tổ chức, đơn vị thuộc Trung ương quản lý</t>
  </si>
  <si>
    <t>- Thu do cơ quan, tổ chức, đơn vị thuộc địa phương quản lý</t>
  </si>
  <si>
    <t>Thu tiền sử dụng khu vực biển</t>
  </si>
  <si>
    <t>Trong đó: - Thuộc thẩm quyền giao của trung ương</t>
  </si>
  <si>
    <t>- Thuộc thẩm quyền giao của địa phương</t>
  </si>
  <si>
    <t>Thu từ bán tài sản nhà nước</t>
  </si>
  <si>
    <t>Trong đó: - Do trung ương</t>
  </si>
  <si>
    <t xml:space="preserve">                - Do địa phương</t>
  </si>
  <si>
    <t>Thu từ tài sản được xác lập quyền sở hữu của nhà nước</t>
  </si>
  <si>
    <t>Trong đó: - Do trung ương xử lý</t>
  </si>
  <si>
    <t xml:space="preserve">                - Do địa phương xử lý</t>
  </si>
  <si>
    <t>Thu khác ngân sách</t>
  </si>
  <si>
    <t>Trong đó: - Thu khác ngân sách trung ương</t>
  </si>
  <si>
    <t>Thu tiền cấp quyền khai thác khoáng sản</t>
  </si>
  <si>
    <t>Trong đó: - Giấy phép do Trung ương cấp</t>
  </si>
  <si>
    <t>- Giấy phép do Ủy ban nhân dân cấp tỉnh cấp</t>
  </si>
  <si>
    <t>Thu cổ tức và lợi nhuận sau thuế</t>
  </si>
  <si>
    <t>Thu từ hoạt động xổ số kiến thiết (kể cả xổ số điện toán)</t>
  </si>
  <si>
    <t>II</t>
  </si>
  <si>
    <t>1.1</t>
  </si>
  <si>
    <t>1.2</t>
  </si>
  <si>
    <t>1.3</t>
  </si>
  <si>
    <t>1.4</t>
  </si>
  <si>
    <t>1.5</t>
  </si>
  <si>
    <t>1.6</t>
  </si>
  <si>
    <t>Thu khác</t>
  </si>
  <si>
    <t>III</t>
  </si>
  <si>
    <t>Thuế xuất khẩu</t>
  </si>
  <si>
    <t>Thuế nhập khẩu</t>
  </si>
  <si>
    <t>Thuế tiêu thụ đặc biệt hàng nhập khẩu</t>
  </si>
  <si>
    <t>Thuế giá trị gia tăng hàng nhập khẩu</t>
  </si>
  <si>
    <t>Thuế bổ sung đối với hàng hóa nhập khẩu vào Việt Nam</t>
  </si>
  <si>
    <t>Thu chênh lệch giá hàng xuất nhập khẩu</t>
  </si>
  <si>
    <t>Thuế bảo vệ môi trường do cơ quan hải quan thực hiện</t>
  </si>
  <si>
    <t>Phí, lệ phí hải quan</t>
  </si>
  <si>
    <t>IV</t>
  </si>
  <si>
    <t>V</t>
  </si>
  <si>
    <t>Các khoản huy động, đóng góp</t>
  </si>
  <si>
    <t>Các khoản huy động đóng góp xây dựng cơ sở hạ tầng</t>
  </si>
  <si>
    <t>Các khoản huy động đóng góp khác</t>
  </si>
  <si>
    <t>VI</t>
  </si>
  <si>
    <t>Thu hồi vốn của Nhà nước và thu từ quỹ dự trữ tài chính</t>
  </si>
  <si>
    <t>Thu từ bán cổ phần, vốn góp của Nhà nước nộp ngân sách</t>
  </si>
  <si>
    <t>Thu từ các khoản cho vay của ngân sách</t>
  </si>
  <si>
    <t>2.1</t>
  </si>
  <si>
    <t>Thu nợ gốc cho vay</t>
  </si>
  <si>
    <t>2.2</t>
  </si>
  <si>
    <t>Thu lãi cho vay</t>
  </si>
  <si>
    <t>Thu từ quỹ dự trữ tài chính</t>
  </si>
  <si>
    <t>I</t>
  </si>
  <si>
    <t>C</t>
  </si>
  <si>
    <t>THU CHUYỂN GIAO NGÂN SÁCH</t>
  </si>
  <si>
    <t>Thu bổ sung từ ngân sách cấp trên</t>
  </si>
  <si>
    <t xml:space="preserve">Bổ sung cân đối </t>
  </si>
  <si>
    <t>Bổ sung có mục tiêu</t>
  </si>
  <si>
    <t xml:space="preserve">Bổ sung có mục tiêu bằng nguồn vốn trong nước </t>
  </si>
  <si>
    <t>Bổ sung có mục tiêu bằng nguồn vốn ngoài nước</t>
  </si>
  <si>
    <t>Thu từ ngân sách cấp dưới nộp lên</t>
  </si>
  <si>
    <t>D</t>
  </si>
  <si>
    <t>THU CHUYỂN NGUỒN</t>
  </si>
  <si>
    <t>THU KẾT DƯ NGÂN SÁCH</t>
  </si>
  <si>
    <t>Nội dung chi</t>
  </si>
  <si>
    <t>So sánh QT/DT(%)</t>
  </si>
  <si>
    <t>Tổng số Chi NSĐP</t>
  </si>
  <si>
    <t>3=4+5+6</t>
  </si>
  <si>
    <t>7=3/1</t>
  </si>
  <si>
    <t>8=3/2</t>
  </si>
  <si>
    <t>CHI CÂN ĐỐI NGÂN SÁCH</t>
  </si>
  <si>
    <t>Chi đầu tư phát triển</t>
  </si>
  <si>
    <t>Chi đầu tư phát triển cho chương trình, dự án theo lĩnh vực</t>
  </si>
  <si>
    <t>Chi quốc phòng</t>
  </si>
  <si>
    <t>Chi an ninh và trật tự an toàn xã hội</t>
  </si>
  <si>
    <t>1.7</t>
  </si>
  <si>
    <t>1.8</t>
  </si>
  <si>
    <t>1.9</t>
  </si>
  <si>
    <t>1.10</t>
  </si>
  <si>
    <t>Chi các hoạt động kinh tế</t>
  </si>
  <si>
    <t>1.11</t>
  </si>
  <si>
    <t>Chi hoạt động của các cơ quan quản lý nhà nước, đảng, đoàn thể</t>
  </si>
  <si>
    <t>1.12</t>
  </si>
  <si>
    <t>1.13</t>
  </si>
  <si>
    <t>Chi ngành, lĩnh vực khác</t>
  </si>
  <si>
    <t>Chi đầu tư phát triển khác</t>
  </si>
  <si>
    <t>Chi trả nợ lãi vay theo quy định</t>
  </si>
  <si>
    <t>Chi thường xuyên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</si>
  <si>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</si>
  <si>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</si>
  <si>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</si>
  <si>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</si>
  <si>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</si>
  <si>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</si>
  <si>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</si>
  <si>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</si>
  <si>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</si>
  <si>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</si>
  <si>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</si>
  <si>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Chi khác</t>
  </si>
  <si>
    <t>Chi chuyển nguồn</t>
  </si>
  <si>
    <t>CHI BỔ SUNG CHO NGÂN SÁCH CẤP DƯỚI</t>
  </si>
  <si>
    <t>Bổ sung cân đối</t>
  </si>
  <si>
    <t>Tr. đó: - Bằng nguồn vốn trong nước</t>
  </si>
  <si>
    <t xml:space="preserve">           - Bằng nguồn vốn ngoài nước</t>
  </si>
  <si>
    <t>CHI NỘP NGÂN SÁCH CẤP TRÊN</t>
  </si>
  <si>
    <t>TỔNG SỐ (A+B+C)</t>
  </si>
  <si>
    <t>- Cột (1) chỉ phản ánh những chỉ tiêu TW giao ở dòng tương ứng</t>
  </si>
  <si>
    <t>(1) - Phản ánh các khoản chi từ nguồn thu đơn vị được để lại chi theo chế độ quy định</t>
  </si>
  <si>
    <t>Trong đó</t>
  </si>
  <si>
    <t>…</t>
  </si>
  <si>
    <t>Đơn vị tính: Triệu đồng</t>
  </si>
  <si>
    <t>(Dùng cho ngân sách các cấp chính quyền địa phương)</t>
  </si>
  <si>
    <t>Nội dung (1)</t>
  </si>
  <si>
    <t>Dự toán</t>
  </si>
  <si>
    <t>Quyết toán</t>
  </si>
  <si>
    <t>Dự phòng ngân sách</t>
  </si>
  <si>
    <t>So sánh (%)</t>
  </si>
  <si>
    <t>Bổ sung cân đối ngân sách</t>
  </si>
  <si>
    <t>Thu nội địa</t>
  </si>
  <si>
    <t>Thu viện trợ</t>
  </si>
  <si>
    <t>3=2/1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</si>
  <si>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</si>
  <si>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</si>
  <si>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</si>
  <si>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</si>
  <si>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</si>
  <si>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</si>
  <si>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</si>
  <si>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hoạt động của cơ quan quản lý nhà nước, đảng, đoàn thể</t>
  </si>
  <si>
    <t>Chi bảo đảm xã hội</t>
  </si>
  <si>
    <t>Chi đầu tư khác</t>
  </si>
  <si>
    <t>Tên đơn vị</t>
  </si>
  <si>
    <t>TỔNG SỐ</t>
  </si>
  <si>
    <t>Biểu mẫu số 55</t>
  </si>
  <si>
    <t>Chi giao thông</t>
  </si>
  <si>
    <t>Chi nông nghiệp, lâm nghiệp, thủy lợi, thủy sản</t>
  </si>
  <si>
    <t>18=2/1</t>
  </si>
  <si>
    <t>So sách (%)</t>
  </si>
  <si>
    <t>Gồm</t>
  </si>
  <si>
    <t>Vốn đầu tư để thực hiện các CTMT, nhiệm vụ</t>
  </si>
  <si>
    <t>Vốn sự nghiệp thực hiện các chế độ, chính sách</t>
  </si>
  <si>
    <t>Vốn thực hiện các CTMT quốc gia</t>
  </si>
  <si>
    <t>Vốn ngoài nước</t>
  </si>
  <si>
    <t>Vốn trong nước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</si>
  <si>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</si>
  <si>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</si>
  <si>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</si>
  <si>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</si>
  <si>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</si>
  <si>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</si>
  <si>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</si>
  <si>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</si>
  <si>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</si>
  <si>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</si>
  <si>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Đầu tư phát triển</t>
  </si>
  <si>
    <t>Kinh phí sự nghiệp</t>
  </si>
  <si>
    <t>Chia ra</t>
  </si>
  <si>
    <t>16=5/1</t>
  </si>
  <si>
    <t>17=6/2</t>
  </si>
  <si>
    <t>18=7/3</t>
  </si>
  <si>
    <t>19=8/4</t>
  </si>
  <si>
    <t>VIII</t>
  </si>
  <si>
    <t>IX</t>
  </si>
  <si>
    <t>X</t>
  </si>
  <si>
    <t>XI</t>
  </si>
  <si>
    <t xml:space="preserve"> Trong đó:  - Thu tiền thuê đất từ Doanh nghiệp nước ngoài</t>
  </si>
  <si>
    <t xml:space="preserve">                     - Ghi thu, ghi chi tiền thuê đất từ DN nước ngoài</t>
  </si>
  <si>
    <t xml:space="preserve"> - Phí, lệ phí do cơ quan nhà nước địa phương thu cấp xã</t>
  </si>
  <si>
    <t xml:space="preserve">Chương trình mục tiêu quốc gia Giảm nghèo </t>
  </si>
  <si>
    <t>Chương trình mục tiêu quốc gia nông thôn mới</t>
  </si>
  <si>
    <t>Nghị định số 31/2017/NĐ-CP ngày 23/3/2017 của Chính Phủ</t>
  </si>
  <si>
    <t>Chi đầu tư và hỗ trợ vốn cho các doanh nghiệp hoạt động công ích…</t>
  </si>
  <si>
    <t>Thu NS cấp xã</t>
  </si>
  <si>
    <t xml:space="preserve">Thu từ khu vực doanh nghiệp nhà nước </t>
  </si>
  <si>
    <t>Thu hải quan</t>
  </si>
  <si>
    <t xml:space="preserve"> - Thu khác</t>
  </si>
  <si>
    <t>Thu tiền thuê mặt đất, mặt nước</t>
  </si>
  <si>
    <t xml:space="preserve">Thu tiền sử dụng đất </t>
  </si>
  <si>
    <t>Thu tiền sử dụng đất khi bán và thuê nhà ở thuộc SHNN</t>
  </si>
  <si>
    <t>Thu tiền cho thuê và bán nhà ở thuộc sở hữu nhà nước (phần tài sản trên đất)</t>
  </si>
  <si>
    <t xml:space="preserve">VI </t>
  </si>
  <si>
    <t xml:space="preserve">    Trong đó: Phí tham quan</t>
  </si>
  <si>
    <t>Dự toán năm trước chuyển sang</t>
  </si>
  <si>
    <t>Dự toán được giao trong năm</t>
  </si>
  <si>
    <t>Trong đó: Lợi nhuận sau thuế từ yến sào</t>
  </si>
  <si>
    <t>ỦY BAN NHÂN DÂN</t>
  </si>
  <si>
    <t>Lệ phí trước bạ</t>
  </si>
  <si>
    <t>Thu khác ngân sách xã</t>
  </si>
  <si>
    <t>Thị xã Điện Bàn</t>
  </si>
  <si>
    <t>Điện Thọ</t>
  </si>
  <si>
    <t>Trong đó: nguồn TPCP</t>
  </si>
  <si>
    <t>Điện Nam Trung</t>
  </si>
  <si>
    <t>THỊ XÃ ĐIỆN BÀN</t>
  </si>
  <si>
    <t>Điện Tiến</t>
  </si>
  <si>
    <t>Điện Hồng</t>
  </si>
  <si>
    <t>Điện Nam Bắc</t>
  </si>
  <si>
    <t>Điện Nam Đông</t>
  </si>
  <si>
    <t>Điện Thắng Bắc</t>
  </si>
  <si>
    <t>Điện Thắng Trung</t>
  </si>
  <si>
    <t>Điện Thắng Nam</t>
  </si>
  <si>
    <t>Điện Ngọc</t>
  </si>
  <si>
    <t>Điện Phương</t>
  </si>
  <si>
    <t>Điện Phước</t>
  </si>
  <si>
    <t>Điện Quang</t>
  </si>
  <si>
    <t>Điện Minh</t>
  </si>
  <si>
    <t>Điện Phong</t>
  </si>
  <si>
    <t>Điện An</t>
  </si>
  <si>
    <t>Điện Trung</t>
  </si>
  <si>
    <t>Điện Hòa</t>
  </si>
  <si>
    <t>Vĩnh Điên</t>
  </si>
  <si>
    <t>Điện Dương</t>
  </si>
  <si>
    <t>Chi  từ nguồn thu phí bảo vệ môi trường</t>
  </si>
  <si>
    <t>Phòng Kinh tế</t>
  </si>
  <si>
    <t>KHỐI THỊ XÃ</t>
  </si>
  <si>
    <t>KHỐI XÃ PHƯỜNG</t>
  </si>
  <si>
    <t>1</t>
  </si>
  <si>
    <t>2</t>
  </si>
  <si>
    <t>3</t>
  </si>
  <si>
    <t>Ngân sách cấp huyện</t>
  </si>
  <si>
    <t>Ngân sách cấp xã</t>
  </si>
  <si>
    <t>Phòng Lao động - TB</t>
  </si>
  <si>
    <t>Thu học phí</t>
  </si>
  <si>
    <t>Đvt: Triệu đồng</t>
  </si>
  <si>
    <t>Các đơn vị khác</t>
  </si>
  <si>
    <t>4</t>
  </si>
  <si>
    <t>5</t>
  </si>
  <si>
    <t>Khối xã, phường</t>
  </si>
  <si>
    <t>Nguồn tỉnh lại từ tăng thu dự toán nộp về tỉnh</t>
  </si>
  <si>
    <t>Nguồn cải cách tiền lương</t>
  </si>
  <si>
    <t>Nguồn tăng thu chưa phân bổ</t>
  </si>
  <si>
    <t>Phòng Nội vụ</t>
  </si>
  <si>
    <t>Chi các nhiệm vụ chi khác</t>
  </si>
  <si>
    <t>BQL DA ĐTXD</t>
  </si>
  <si>
    <t>Trung tâm phát triển quỹ đất</t>
  </si>
  <si>
    <t xml:space="preserve">Phòng Quản lý đô thị </t>
  </si>
  <si>
    <t>Văn Phòng HĐND và UBND</t>
  </si>
  <si>
    <t>Phòng Tài nguyên và môi trường</t>
  </si>
  <si>
    <t>Trung tâm văn hóa và truyền thanh truyền hình</t>
  </si>
  <si>
    <t>Phòng Văn hóa và thông tin</t>
  </si>
  <si>
    <t>Công an thị xã Điện Bàn</t>
  </si>
  <si>
    <t>Phòng lao động Thương Binh và xã hội</t>
  </si>
  <si>
    <t>Nguồn vốn chưa phân bổ và đơn vị quản lý dự án khác</t>
  </si>
  <si>
    <t>Các đơn vị trường học</t>
  </si>
  <si>
    <t xml:space="preserve"> - Phí, lệ phí do cơ quan nhà nước địa phương thu cấp tỉnh, huyện </t>
  </si>
  <si>
    <r>
      <t>T</t>
    </r>
    <r>
      <rPr>
        <i/>
        <sz val="12"/>
        <rFont val="Times New Roman"/>
        <family val="1"/>
      </rPr>
      <t>rong đó: Thu từ quỹ đất công ích và thu hoa lợi công sản khác</t>
    </r>
  </si>
  <si>
    <t xml:space="preserve">Tên đơn vị </t>
  </si>
  <si>
    <t xml:space="preserve"> - Phí bảo vệ môi trường đối với khai thác khoáng sản</t>
  </si>
  <si>
    <t>Vĩnh Điện</t>
  </si>
  <si>
    <t>QUYẾT TOÁN THU NSNN, VAY NSĐP NĂM 2019</t>
  </si>
  <si>
    <t>Thu hưởng 100%</t>
  </si>
  <si>
    <t>Thu tỷ lệ điều tiết</t>
  </si>
  <si>
    <t>THu chuyển nguồn</t>
  </si>
  <si>
    <t>THu chuyển giap</t>
  </si>
  <si>
    <t>Các khoản thu cân đối</t>
  </si>
  <si>
    <t>Thu ngân sách nhà nước</t>
  </si>
  <si>
    <t xml:space="preserve">Chi giáo dục - đào tạo và dạy nghề </t>
  </si>
  <si>
    <t xml:space="preserve">Chi các hoạt động kinh tế </t>
  </si>
  <si>
    <t>Dự toán chưa phân bổ</t>
  </si>
  <si>
    <t>QUYẾT TOÁN CHI CHƯƠNG TRÌNH MỤC TIÊU QUỐC GIA NĂM 2019</t>
  </si>
  <si>
    <t>ĐT</t>
  </si>
  <si>
    <t>QUYẾT TOÁN CHI ĐẦU TƯ PHÁT TRIỂN CỦA NGÂN SÁCH CẤP TỈNH (HUYỆN, XÃ)
CHO TỪNG CƠ QUAN, TỔ CHỨC THEO LĨNH VỰC NĂM 2019</t>
  </si>
  <si>
    <t>QUYẾT TOÁN CHI BỔ SUNG TỪ NGÂN SÁCH CẤP TỈNH (HUYỆN) CHO NGÂN SÁCH TỪNG HUYỆN (XÃ) NĂM 2019</t>
  </si>
  <si>
    <t>Biểu số 96/CK-NSNN</t>
  </si>
  <si>
    <t>Biểu số 97/CK-NSNN</t>
  </si>
  <si>
    <t>Biểu số 98/CK-NSNN</t>
  </si>
  <si>
    <t>CÂN ĐỐI  NGÂN SÁCH THỊ XÃ NĂM 2019</t>
  </si>
  <si>
    <t>(Quyết toán đã được Hội đồng nhân dân phê chuẩn)</t>
  </si>
  <si>
    <t>TỔNG NGUỒN THU NGÂN SÁCH THỊ XÃ</t>
  </si>
  <si>
    <t>Thu ngân sách thị xã được hưởng theo phân cấp</t>
  </si>
  <si>
    <t>Thu ngân sách thị xã hưởng 100%</t>
  </si>
  <si>
    <t>Thu ngân sách thị xã hưởng từ cáckhoản thu phân chia</t>
  </si>
  <si>
    <t>Thu bổ sung từ ngân sách cấp tỉnh</t>
  </si>
  <si>
    <t xml:space="preserve"> Thu kết dư</t>
  </si>
  <si>
    <t xml:space="preserve"> Thu chuyển nguồn từ năm trước sang</t>
  </si>
  <si>
    <t>-</t>
  </si>
  <si>
    <t>TỔNG CHI NGÂN SÁCH THỊ XÃ</t>
  </si>
  <si>
    <t>Chi cân đôi ngân sách thị xã</t>
  </si>
  <si>
    <t>Chi tạo nguồn, điều chỉnh tiền lương</t>
  </si>
  <si>
    <t>Chi các chương trình mục tiêu</t>
  </si>
  <si>
    <t>Chi các chương trình mục tiêu quốc gia</t>
  </si>
  <si>
    <t>Chi các chương trinhg muvj tiêu nhiệm vụ</t>
  </si>
  <si>
    <t>Chi chuyển nguồn sang năm sau</t>
  </si>
  <si>
    <t>Chi nộp ngân sách cấp trên</t>
  </si>
  <si>
    <t>Chi bổ sung cho ngân sách cấp dưới</t>
  </si>
  <si>
    <t>Thu từ ngân sách cấp dưới nộp</t>
  </si>
  <si>
    <t>Chi các nhiệm vụ khác</t>
  </si>
  <si>
    <t>QUYẾT TOÁN CHI NGÂN SÁCH HUYỆN, CHI NGÂN SÁCH CẤP HUYỆN VÀ
 CHI NGÂN SÁCH XÃ THEO CƠ CẤU CHI NĂM 2019</t>
  </si>
  <si>
    <t>Biểu số 99/CK-NSNN</t>
  </si>
  <si>
    <t>TỔNG CHI NGÂN SÁCH HUYỆN</t>
  </si>
  <si>
    <t>CHI BỔ SUNG CHO NGÂN SÁCH XÃ</t>
  </si>
  <si>
    <t>CHI NGÂN SÁCH CẤP HUYỆN THEO LĨNH VỰC</t>
  </si>
  <si>
    <t>Chi các hoạt động kinh tế (có thu đóng góp)</t>
  </si>
  <si>
    <t>Chi giáo dục - đào tạo và dạy nghề (có học phí)</t>
  </si>
  <si>
    <t>QUYẾT TOÁN CHI NGÂN SÁCH CẤP HUYỆN THEO TỪNG LĨNH VỰC NĂM 2019</t>
  </si>
  <si>
    <t>Chi  nộp ngân sách cấp trên</t>
  </si>
  <si>
    <t>Chi tạo nguồn CCTL</t>
  </si>
  <si>
    <t>VII</t>
  </si>
  <si>
    <t>QUYẾT TOÁN CHI NGÂN SÁCH CẤP TỈNH (HUYỆN, XÃ) CHO TỪNG CƠ QUAN, TỔ CHỨC THEO LĨNH VỰC NĂM 2019</t>
  </si>
  <si>
    <t>Dự toán được giao trong năm (1)</t>
  </si>
  <si>
    <r>
      <t xml:space="preserve">Chi đầu tư phát triển </t>
    </r>
    <r>
      <rPr>
        <sz val="12"/>
        <rFont val="Times New Roman"/>
        <family val="1"/>
      </rPr>
      <t>(Không kể chương trình MTQG)</t>
    </r>
  </si>
  <si>
    <r>
      <t xml:space="preserve">Chi thường xuyên </t>
    </r>
    <r>
      <rPr>
        <sz val="12"/>
        <rFont val="Times New Roman"/>
        <family val="1"/>
      </rPr>
      <t>(Không kể chương trình MTQG)</t>
    </r>
  </si>
  <si>
    <t>Chi chương trình MTQG</t>
  </si>
  <si>
    <t>Chi chuyển nguồn sang ngân sách năm sau</t>
  </si>
  <si>
    <t>CÁC CƠ QUAN, TỔ CHỨC</t>
  </si>
  <si>
    <t>a</t>
  </si>
  <si>
    <t>Khối hành chính</t>
  </si>
  <si>
    <t>VP UBND&amp;HĐND</t>
  </si>
  <si>
    <t>Phòng Kinh Tế</t>
  </si>
  <si>
    <t>Phòng Tư Pháp</t>
  </si>
  <si>
    <t>Phòng Tài chính -Kế hoạch</t>
  </si>
  <si>
    <t>Phòng Quản Lý đô thị</t>
  </si>
  <si>
    <t>Phòng Tài nguyên -Môi trường</t>
  </si>
  <si>
    <t>Phòng Nội Vụ</t>
  </si>
  <si>
    <t>Thanh tra thị xã</t>
  </si>
  <si>
    <t>Phòng Lao động TBXH</t>
  </si>
  <si>
    <t>Phòng Y tế</t>
  </si>
  <si>
    <t>Phòng Giáo dục&amp;đào tạo</t>
  </si>
  <si>
    <t>Phòng Văn hóa- Thông tin</t>
  </si>
  <si>
    <t>Thị ủy</t>
  </si>
  <si>
    <t>UB Mặt trận</t>
  </si>
  <si>
    <t>Trung tâm KTNN</t>
  </si>
  <si>
    <t>Trung tâm VH&amp;TT&amp;TTTH</t>
  </si>
  <si>
    <t>Đội Kiểm tra quy tắc</t>
  </si>
  <si>
    <t>Công an</t>
  </si>
  <si>
    <t>Thị đội</t>
  </si>
  <si>
    <t>Ban quản lý dự án đầu tư</t>
  </si>
  <si>
    <t>TT phát triển quỹ đất</t>
  </si>
  <si>
    <t>Trung tâm hành chính công</t>
  </si>
  <si>
    <t>TT phát triển cụm công nghiệp</t>
  </si>
  <si>
    <t>b</t>
  </si>
  <si>
    <t>Khối trường học</t>
  </si>
  <si>
    <t>MG Điện Minh</t>
  </si>
  <si>
    <t>MG Điện An</t>
  </si>
  <si>
    <t>MG Điện Phương</t>
  </si>
  <si>
    <t>MG Điện Nam Trung</t>
  </si>
  <si>
    <t>MG Điện Nam Đông</t>
  </si>
  <si>
    <t>MG Điện Nam Bắc</t>
  </si>
  <si>
    <t>MG Điện Dương</t>
  </si>
  <si>
    <t>MG Điện Ngọc</t>
  </si>
  <si>
    <t>MG Điện Thắng Trung</t>
  </si>
  <si>
    <t>MG Điện Thắng Nam</t>
  </si>
  <si>
    <t>MG Điện Thắng Bắc</t>
  </si>
  <si>
    <t>MG Điện Hoà</t>
  </si>
  <si>
    <t>MG Điện Tiến</t>
  </si>
  <si>
    <t>MG Điện Phước</t>
  </si>
  <si>
    <t>MG Điện Thọ</t>
  </si>
  <si>
    <t>MG Điện Hồng</t>
  </si>
  <si>
    <t>MG Phan Triêm</t>
  </si>
  <si>
    <t>MG Điện Trung</t>
  </si>
  <si>
    <t>MG Điện Phong</t>
  </si>
  <si>
    <t>MG Vĩnh Điện</t>
  </si>
  <si>
    <t>TH Kim Đồng</t>
  </si>
  <si>
    <t>TH Trần quốc Toản</t>
  </si>
  <si>
    <t>TH Lý Thường Kiệt</t>
  </si>
  <si>
    <t>TH Phan Thành Tài</t>
  </si>
  <si>
    <t>TH Phan Bôi</t>
  </si>
  <si>
    <t>TH Nguyễn Văn Cừ</t>
  </si>
  <si>
    <t>TH Phạm Phú Thứ</t>
  </si>
  <si>
    <t>TH Nguyễn Phan Vinh</t>
  </si>
  <si>
    <t>TH Hồ Xuân Phương</t>
  </si>
  <si>
    <t>TH Văn Thanh Tùng</t>
  </si>
  <si>
    <t>TH Hồ văn Biển</t>
  </si>
  <si>
    <t>TH Lê Hồng Phong</t>
  </si>
  <si>
    <t>TH Phạm Như Xương</t>
  </si>
  <si>
    <t>TH Nguyễn Trãi</t>
  </si>
  <si>
    <t>TH Nguyễn Huệ</t>
  </si>
  <si>
    <t>TH Nguyễn Bá Ngọc</t>
  </si>
  <si>
    <t>TH Thái Phiên</t>
  </si>
  <si>
    <t>TH Hoàng Văn Thụ</t>
  </si>
  <si>
    <t>TH JunKô</t>
  </si>
  <si>
    <t>TH Nguyễn Thành Ý</t>
  </si>
  <si>
    <t>TH Ngô Quyền</t>
  </si>
  <si>
    <t>TH Phan Bội Châu</t>
  </si>
  <si>
    <t>TH Huỳnh Thúc Kháng</t>
  </si>
  <si>
    <t>TH Cao Bá Quát</t>
  </si>
  <si>
    <t>TH Phan Thanh</t>
  </si>
  <si>
    <t>TH Nguyễn Trọng Nghĩa</t>
  </si>
  <si>
    <t>TH Trần Hưng Đạo</t>
  </si>
  <si>
    <t>TH Phan Ngọc Nhân</t>
  </si>
  <si>
    <t xml:space="preserve">TH Lê Tự Nhất Thống </t>
  </si>
  <si>
    <t>THCS Quang Trung</t>
  </si>
  <si>
    <t>THCS Lý Tự trọng</t>
  </si>
  <si>
    <t>THCS Phan Châu Trinh</t>
  </si>
  <si>
    <t>THCS Nguyễn Du</t>
  </si>
  <si>
    <t>THCS Võ Như Hưng</t>
  </si>
  <si>
    <t>THCS Lê Ngọc Giá</t>
  </si>
  <si>
    <t>THCS DS Điện Ngọc</t>
  </si>
  <si>
    <t>THCS Nguyễn Văn Trỗi</t>
  </si>
  <si>
    <t>THCS Trần Phú</t>
  </si>
  <si>
    <t>THCS Lê Văn Tám</t>
  </si>
  <si>
    <t>THCS Trần Quý Cáp</t>
  </si>
  <si>
    <t>THCS Phan Thúc Duyện</t>
  </si>
  <si>
    <t>THCS ông Ích Khiêm</t>
  </si>
  <si>
    <t>THCS Trần Cao Vân</t>
  </si>
  <si>
    <t>THCS Lê Đình Dương</t>
  </si>
  <si>
    <t>THCS Nguyễn Đình Chiểu</t>
  </si>
  <si>
    <t>THCS Lê Trí Viễn</t>
  </si>
  <si>
    <t>THCS Thu Bồn</t>
  </si>
  <si>
    <t>CHI DỰ PHÒNG NGÂN SÁCH</t>
  </si>
  <si>
    <t>CHI TẠO NGUỒN, ĐIỀU CHỈNH TIỀN LƯƠNG</t>
  </si>
  <si>
    <t>CHI BỔ SUNG CÓ MỤC TIÊU CHO NGÂN SÁCH CẤP DƯỚI (2)</t>
  </si>
  <si>
    <t>CHI CHUYỂN NGUỒN SANG NGÂN SÁCH NĂM SAU</t>
  </si>
  <si>
    <t>Biểu số 101/CK-NSNN</t>
  </si>
  <si>
    <t>Biểu số 100/CK-NSNN</t>
  </si>
  <si>
    <t>Biểu số 102/CK-NSNN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</si>
</sst>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(* #,##0_);_(* \(#,##0\);_(* &quot;-&quot;??_);_(@_)"/>
    <numFmt numFmtId="181" formatCode="_-* #,##0\ _€_-;\-* #,##0\ _€_-;_-* &quot;-&quot;??\ _€_-;_-@_-"/>
    <numFmt numFmtId="182" formatCode="_(* #,##0.000_);_(* \(#,##0.000\);_(* &quot;-&quot;??_);_(@_)"/>
    <numFmt numFmtId="183" formatCode="_(* #,##0.000_);_(* \(#,##0.000\);_(* &quot;-&quot;???_);_(@_)"/>
    <numFmt numFmtId="184" formatCode="_(* #,##0.000000_);_(* \(#,##0.000000\);_(* &quot;-&quot;??_);_(@_)"/>
    <numFmt numFmtId="185" formatCode="_(* #,##0.00000_);_(* \(#,##0.00000\);_(* &quot;-&quot;??_);_(@_)"/>
    <numFmt numFmtId="186" formatCode="_(* #,##0.00000_);_(* \(#,##0.00000\);_(* &quot;-&quot;?????_);_(@_)"/>
    <numFmt numFmtId="187" formatCode="_(* #,##0.0_);_(* \(#,##0.0\);_(* &quot;-&quot;??_);_(@_)"/>
    <numFmt numFmtId="188" formatCode="_-* #,##0.000\ _₫_-;\-* #,##0.000\ _₫_-;_-* &quot;-&quot;???\ _₫_-;_-@_-"/>
    <numFmt numFmtId="189" formatCode="_-* #,##0.0\ _₫_-;\-* #,##0.0\ _₫_-;_-* &quot;-&quot;?\ _₫_-;_-@_-"/>
    <numFmt numFmtId="190" formatCode="_(* #,##0.0_);_(* \(#,##0.0\);_(* &quot;-&quot;?_);_(@_)"/>
    <numFmt numFmtId="191" formatCode="_(* #,##0.0000_);_(* \(#,##0.0000\);_(* &quot;-&quot;??_);_(@_)"/>
    <numFmt numFmtId="192" formatCode="#,##0\ _₫"/>
    <numFmt numFmtId="193" formatCode="_-* #,##0\ _₫_-;\-* #,##0\ _₫_-;_-* &quot;-&quot;??\ _₫_-;_-@_-"/>
    <numFmt numFmtId="194" formatCode="&quot;?&quot;#,##0;&quot;?&quot;\-#,##0"/>
    <numFmt numFmtId="195" formatCode="0.0"/>
    <numFmt numFmtId="196" formatCode="_(* #,##0.000000_);_(* \(#,##0.000000\);_(* &quot;-&quot;??????_);_(@_)"/>
    <numFmt numFmtId="197" formatCode="#,##0.000"/>
    <numFmt numFmtId="198" formatCode="0.00_);\(0.00\)"/>
    <numFmt numFmtId="199" formatCode="0.0_);\(0.0\)"/>
    <numFmt numFmtId="200" formatCode="0_);\(0\)"/>
    <numFmt numFmtId="201" formatCode="_(* #,##0.0000000_);_(* \(#,##0.0000000\);_(* &quot;-&quot;??_);_(@_)"/>
    <numFmt numFmtId="202" formatCode="_(* #,##0.00000000_);_(* \(#,##0.0000000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;\-#,##0"/>
    <numFmt numFmtId="208" formatCode="0.000"/>
    <numFmt numFmtId="209" formatCode="_-* #,##0.00_-;\-* #,##0.00_-;_-* &quot;-&quot;??_-;_-@_-"/>
    <numFmt numFmtId="210" formatCode="_(* #,##0.0000_);_(* \(#,##0.0000\);_(* &quot;-&quot;?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</numFmts>
  <fonts count="97">
    <font>
      <sz val="11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VNI-Times"/>
      <family val="0"/>
    </font>
    <font>
      <sz val="11"/>
      <name val="times new roman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2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sz val="13"/>
      <color indexed="8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3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81" fillId="0" borderId="0" xfId="0" applyFont="1" applyAlignment="1">
      <alignment vertical="center"/>
    </xf>
    <xf numFmtId="0" fontId="0" fillId="0" borderId="0" xfId="0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84" fillId="0" borderId="0" xfId="0" applyFont="1" applyAlignment="1">
      <alignment/>
    </xf>
    <xf numFmtId="0" fontId="6" fillId="0" borderId="0" xfId="0" applyFont="1" applyAlignment="1">
      <alignment wrapText="1"/>
    </xf>
    <xf numFmtId="180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81" fillId="0" borderId="10" xfId="42" applyFont="1" applyBorder="1" applyAlignment="1">
      <alignment horizontal="center" vertical="center" wrapText="1"/>
    </xf>
    <xf numFmtId="180" fontId="0" fillId="0" borderId="0" xfId="42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180" fontId="84" fillId="0" borderId="0" xfId="0" applyNumberFormat="1" applyFont="1" applyAlignment="1">
      <alignment/>
    </xf>
    <xf numFmtId="43" fontId="4" fillId="0" borderId="11" xfId="42" applyFont="1" applyBorder="1" applyAlignment="1">
      <alignment vertical="center" wrapText="1"/>
    </xf>
    <xf numFmtId="0" fontId="85" fillId="0" borderId="0" xfId="0" applyFont="1" applyAlignment="1">
      <alignment horizontal="left" vertical="center"/>
    </xf>
    <xf numFmtId="180" fontId="2" fillId="0" borderId="10" xfId="42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80" fontId="82" fillId="33" borderId="10" xfId="42" applyNumberFormat="1" applyFont="1" applyFill="1" applyBorder="1" applyAlignment="1">
      <alignment horizontal="center" vertical="center" wrapText="1"/>
    </xf>
    <xf numFmtId="180" fontId="4" fillId="33" borderId="0" xfId="42" applyNumberFormat="1" applyFont="1" applyFill="1" applyAlignment="1">
      <alignment/>
    </xf>
    <xf numFmtId="0" fontId="47" fillId="33" borderId="0" xfId="111" applyFont="1" applyFill="1">
      <alignment/>
      <protection/>
    </xf>
    <xf numFmtId="187" fontId="47" fillId="33" borderId="0" xfId="42" applyNumberFormat="1" applyFont="1" applyFill="1" applyAlignment="1">
      <alignment/>
    </xf>
    <xf numFmtId="0" fontId="2" fillId="33" borderId="10" xfId="111" applyFont="1" applyFill="1" applyBorder="1" applyAlignment="1">
      <alignment vertical="center" wrapText="1"/>
      <protection/>
    </xf>
    <xf numFmtId="187" fontId="4" fillId="33" borderId="10" xfId="42" applyNumberFormat="1" applyFont="1" applyFill="1" applyBorder="1" applyAlignment="1">
      <alignment horizontal="center" vertical="center" wrapText="1"/>
    </xf>
    <xf numFmtId="184" fontId="6" fillId="0" borderId="0" xfId="42" applyNumberFormat="1" applyFont="1" applyAlignment="1">
      <alignment/>
    </xf>
    <xf numFmtId="184" fontId="2" fillId="0" borderId="10" xfId="42" applyNumberFormat="1" applyFont="1" applyBorder="1" applyAlignment="1">
      <alignment horizontal="center" vertical="center" wrapText="1"/>
    </xf>
    <xf numFmtId="184" fontId="4" fillId="0" borderId="11" xfId="42" applyNumberFormat="1" applyFont="1" applyBorder="1" applyAlignment="1">
      <alignment vertical="center" wrapText="1"/>
    </xf>
    <xf numFmtId="184" fontId="6" fillId="0" borderId="0" xfId="42" applyNumberFormat="1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180" fontId="6" fillId="0" borderId="0" xfId="42" applyNumberFormat="1" applyFont="1" applyAlignment="1">
      <alignment/>
    </xf>
    <xf numFmtId="180" fontId="2" fillId="0" borderId="11" xfId="42" applyNumberFormat="1" applyFont="1" applyBorder="1" applyAlignment="1">
      <alignment vertical="center" wrapText="1"/>
    </xf>
    <xf numFmtId="180" fontId="4" fillId="0" borderId="11" xfId="42" applyNumberFormat="1" applyFont="1" applyBorder="1" applyAlignment="1">
      <alignment horizontal="center" vertical="center" wrapText="1"/>
    </xf>
    <xf numFmtId="180" fontId="4" fillId="0" borderId="11" xfId="42" applyNumberFormat="1" applyFont="1" applyBorder="1" applyAlignment="1">
      <alignment vertical="center" wrapText="1"/>
    </xf>
    <xf numFmtId="49" fontId="86" fillId="0" borderId="10" xfId="42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180" fontId="85" fillId="0" borderId="0" xfId="42" applyNumberFormat="1" applyFont="1" applyAlignment="1">
      <alignment horizontal="left" vertical="center"/>
    </xf>
    <xf numFmtId="49" fontId="3" fillId="33" borderId="10" xfId="111" applyNumberFormat="1" applyFont="1" applyFill="1" applyBorder="1" applyAlignment="1">
      <alignment horizontal="center" vertical="center" wrapText="1"/>
      <protection/>
    </xf>
    <xf numFmtId="49" fontId="3" fillId="33" borderId="10" xfId="42" applyNumberFormat="1" applyFont="1" applyFill="1" applyBorder="1" applyAlignment="1">
      <alignment horizontal="center" vertical="center" wrapText="1"/>
    </xf>
    <xf numFmtId="0" fontId="6" fillId="33" borderId="0" xfId="111" applyFont="1" applyFill="1">
      <alignment/>
      <protection/>
    </xf>
    <xf numFmtId="0" fontId="2" fillId="33" borderId="10" xfId="111" applyFont="1" applyFill="1" applyBorder="1" applyAlignment="1">
      <alignment horizontal="left" vertical="center" wrapText="1"/>
      <protection/>
    </xf>
    <xf numFmtId="0" fontId="49" fillId="33" borderId="0" xfId="111" applyFont="1" applyFill="1">
      <alignment/>
      <protection/>
    </xf>
    <xf numFmtId="0" fontId="83" fillId="33" borderId="0" xfId="111" applyFont="1" applyFill="1" applyAlignment="1">
      <alignment horizontal="right" vertical="center"/>
      <protection/>
    </xf>
    <xf numFmtId="0" fontId="81" fillId="33" borderId="10" xfId="111" applyFont="1" applyFill="1" applyBorder="1" applyAlignment="1">
      <alignment vertical="center" wrapText="1"/>
      <protection/>
    </xf>
    <xf numFmtId="187" fontId="4" fillId="33" borderId="0" xfId="42" applyNumberFormat="1" applyFont="1" applyFill="1" applyBorder="1" applyAlignment="1">
      <alignment horizontal="left" vertical="center" wrapText="1"/>
    </xf>
    <xf numFmtId="49" fontId="4" fillId="33" borderId="0" xfId="42" applyNumberFormat="1" applyFont="1" applyFill="1" applyBorder="1" applyAlignment="1">
      <alignment horizontal="center" vertical="center" wrapText="1"/>
    </xf>
    <xf numFmtId="187" fontId="4" fillId="33" borderId="0" xfId="42" applyNumberFormat="1" applyFont="1" applyFill="1" applyBorder="1" applyAlignment="1">
      <alignment horizontal="center" vertical="center" wrapText="1"/>
    </xf>
    <xf numFmtId="49" fontId="47" fillId="33" borderId="0" xfId="111" applyNumberFormat="1" applyFont="1" applyFill="1" applyAlignment="1">
      <alignment horizontal="center"/>
      <protection/>
    </xf>
    <xf numFmtId="0" fontId="17" fillId="33" borderId="0" xfId="111" applyFont="1" applyFill="1" applyAlignment="1">
      <alignment vertical="center" wrapText="1"/>
      <protection/>
    </xf>
    <xf numFmtId="0" fontId="14" fillId="33" borderId="0" xfId="111" applyFont="1" applyFill="1" applyAlignment="1">
      <alignment vertical="center" wrapText="1"/>
      <protection/>
    </xf>
    <xf numFmtId="183" fontId="2" fillId="33" borderId="10" xfId="111" applyNumberFormat="1" applyFont="1" applyFill="1" applyBorder="1" applyAlignment="1">
      <alignment horizontal="center" vertical="center" wrapText="1"/>
      <protection/>
    </xf>
    <xf numFmtId="0" fontId="4" fillId="33" borderId="0" xfId="111" applyFont="1" applyFill="1">
      <alignment/>
      <protection/>
    </xf>
    <xf numFmtId="9" fontId="2" fillId="33" borderId="10" xfId="138" applyFont="1" applyFill="1" applyBorder="1" applyAlignment="1">
      <alignment horizontal="right" vertical="center" wrapText="1"/>
    </xf>
    <xf numFmtId="0" fontId="2" fillId="33" borderId="0" xfId="111" applyFont="1" applyFill="1">
      <alignment/>
      <protection/>
    </xf>
    <xf numFmtId="0" fontId="2" fillId="0" borderId="0" xfId="0" applyFont="1" applyAlignment="1">
      <alignment horizontal="center" vertical="center"/>
    </xf>
    <xf numFmtId="0" fontId="2" fillId="33" borderId="12" xfId="111" applyFont="1" applyFill="1" applyBorder="1" applyAlignment="1">
      <alignment vertical="center" wrapText="1"/>
      <protection/>
    </xf>
    <xf numFmtId="0" fontId="16" fillId="33" borderId="0" xfId="0" applyFont="1" applyFill="1" applyAlignment="1">
      <alignment/>
    </xf>
    <xf numFmtId="0" fontId="0" fillId="0" borderId="0" xfId="0" applyAlignment="1">
      <alignment/>
    </xf>
    <xf numFmtId="180" fontId="11" fillId="33" borderId="10" xfId="42" applyNumberFormat="1" applyFont="1" applyFill="1" applyBorder="1" applyAlignment="1">
      <alignment vertical="center" wrapText="1"/>
    </xf>
    <xf numFmtId="43" fontId="81" fillId="0" borderId="10" xfId="42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7" fontId="2" fillId="33" borderId="10" xfId="77" applyNumberFormat="1" applyFont="1" applyFill="1" applyBorder="1" applyAlignment="1">
      <alignment horizontal="center" vertical="center" wrapText="1"/>
    </xf>
    <xf numFmtId="187" fontId="47" fillId="33" borderId="0" xfId="77" applyNumberFormat="1" applyFont="1" applyFill="1" applyAlignment="1">
      <alignment/>
    </xf>
    <xf numFmtId="43" fontId="47" fillId="33" borderId="0" xfId="42" applyFont="1" applyFill="1" applyAlignment="1">
      <alignment/>
    </xf>
    <xf numFmtId="43" fontId="4" fillId="33" borderId="0" xfId="42" applyFont="1" applyFill="1" applyBorder="1" applyAlignment="1">
      <alignment horizontal="center" vertical="center" wrapText="1"/>
    </xf>
    <xf numFmtId="43" fontId="47" fillId="33" borderId="0" xfId="42" applyNumberFormat="1" applyFont="1" applyFill="1" applyAlignment="1">
      <alignment/>
    </xf>
    <xf numFmtId="43" fontId="4" fillId="33" borderId="0" xfId="42" applyNumberFormat="1" applyFont="1" applyFill="1" applyBorder="1" applyAlignment="1">
      <alignment horizontal="center" vertical="center" wrapText="1"/>
    </xf>
    <xf numFmtId="0" fontId="88" fillId="33" borderId="0" xfId="111" applyFont="1" applyFill="1">
      <alignment/>
      <protection/>
    </xf>
    <xf numFmtId="180" fontId="88" fillId="33" borderId="0" xfId="42" applyNumberFormat="1" applyFont="1" applyFill="1" applyAlignment="1">
      <alignment/>
    </xf>
    <xf numFmtId="0" fontId="88" fillId="33" borderId="0" xfId="111" applyFont="1" applyFill="1" applyAlignment="1">
      <alignment horizontal="center"/>
      <protection/>
    </xf>
    <xf numFmtId="185" fontId="88" fillId="33" borderId="0" xfId="42" applyNumberFormat="1" applyFont="1" applyFill="1" applyAlignment="1">
      <alignment/>
    </xf>
    <xf numFmtId="0" fontId="82" fillId="33" borderId="10" xfId="111" applyFont="1" applyFill="1" applyBorder="1" applyAlignment="1">
      <alignment horizontal="center" vertical="center" wrapText="1"/>
      <protection/>
    </xf>
    <xf numFmtId="0" fontId="89" fillId="33" borderId="0" xfId="111" applyFont="1" applyFill="1">
      <alignment/>
      <protection/>
    </xf>
    <xf numFmtId="43" fontId="81" fillId="33" borderId="10" xfId="42" applyNumberFormat="1" applyFont="1" applyFill="1" applyBorder="1" applyAlignment="1">
      <alignment vertical="center" wrapText="1"/>
    </xf>
    <xf numFmtId="171" fontId="82" fillId="33" borderId="10" xfId="111" applyNumberFormat="1" applyFont="1" applyFill="1" applyBorder="1" applyAlignment="1">
      <alignment vertical="center" wrapText="1"/>
      <protection/>
    </xf>
    <xf numFmtId="43" fontId="82" fillId="33" borderId="10" xfId="77" applyFont="1" applyFill="1" applyBorder="1" applyAlignment="1">
      <alignment vertical="center" wrapText="1"/>
    </xf>
    <xf numFmtId="43" fontId="82" fillId="33" borderId="10" xfId="111" applyNumberFormat="1" applyFont="1" applyFill="1" applyBorder="1" applyAlignment="1">
      <alignment vertical="center" wrapText="1"/>
      <protection/>
    </xf>
    <xf numFmtId="4" fontId="82" fillId="33" borderId="10" xfId="111" applyNumberFormat="1" applyFont="1" applyFill="1" applyBorder="1" applyAlignment="1">
      <alignment vertical="center" wrapText="1"/>
      <protection/>
    </xf>
    <xf numFmtId="0" fontId="82" fillId="33" borderId="10" xfId="111" applyFont="1" applyFill="1" applyBorder="1" applyAlignment="1">
      <alignment vertical="center" wrapText="1"/>
      <protection/>
    </xf>
    <xf numFmtId="187" fontId="82" fillId="33" borderId="10" xfId="111" applyNumberFormat="1" applyFont="1" applyFill="1" applyBorder="1" applyAlignment="1">
      <alignment vertical="center" wrapText="1"/>
      <protection/>
    </xf>
    <xf numFmtId="187" fontId="82" fillId="33" borderId="10" xfId="77" applyNumberFormat="1" applyFont="1" applyFill="1" applyBorder="1" applyAlignment="1">
      <alignment vertical="center" wrapText="1"/>
    </xf>
    <xf numFmtId="9" fontId="82" fillId="33" borderId="10" xfId="138" applyFont="1" applyFill="1" applyBorder="1" applyAlignment="1">
      <alignment vertical="center" wrapText="1"/>
    </xf>
    <xf numFmtId="180" fontId="82" fillId="33" borderId="10" xfId="77" applyNumberFormat="1" applyFont="1" applyFill="1" applyBorder="1" applyAlignment="1">
      <alignment vertical="center" wrapText="1"/>
    </xf>
    <xf numFmtId="0" fontId="66" fillId="33" borderId="0" xfId="111" applyFont="1" applyFill="1">
      <alignment/>
      <protection/>
    </xf>
    <xf numFmtId="0" fontId="6" fillId="0" borderId="0" xfId="0" applyFont="1" applyAlignment="1">
      <alignment horizontal="center" wrapText="1"/>
    </xf>
    <xf numFmtId="0" fontId="2" fillId="33" borderId="10" xfId="111" applyFont="1" applyFill="1" applyBorder="1" applyAlignment="1">
      <alignment horizontal="center" vertical="center" wrapText="1"/>
      <protection/>
    </xf>
    <xf numFmtId="43" fontId="2" fillId="33" borderId="10" xfId="42" applyNumberFormat="1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 wrapText="1"/>
    </xf>
    <xf numFmtId="49" fontId="2" fillId="33" borderId="10" xfId="111" applyNumberFormat="1" applyFont="1" applyFill="1" applyBorder="1" applyAlignment="1">
      <alignment horizontal="center" vertical="center" wrapText="1"/>
      <protection/>
    </xf>
    <xf numFmtId="180" fontId="2" fillId="33" borderId="10" xfId="42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8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52" fillId="33" borderId="0" xfId="111" applyFont="1" applyFill="1">
      <alignment/>
      <protection/>
    </xf>
    <xf numFmtId="0" fontId="53" fillId="33" borderId="0" xfId="111" applyFont="1" applyFill="1">
      <alignment/>
      <protection/>
    </xf>
    <xf numFmtId="43" fontId="16" fillId="33" borderId="0" xfId="42" applyFont="1" applyFill="1" applyAlignment="1">
      <alignment/>
    </xf>
    <xf numFmtId="43" fontId="16" fillId="33" borderId="0" xfId="42" applyNumberFormat="1" applyFont="1" applyFill="1" applyAlignment="1">
      <alignment/>
    </xf>
    <xf numFmtId="180" fontId="4" fillId="33" borderId="10" xfId="42" applyNumberFormat="1" applyFont="1" applyFill="1" applyBorder="1" applyAlignment="1">
      <alignment horizontal="center" vertical="center" wrapText="1"/>
    </xf>
    <xf numFmtId="43" fontId="81" fillId="33" borderId="10" xfId="42" applyNumberFormat="1" applyFont="1" applyFill="1" applyBorder="1" applyAlignment="1">
      <alignment horizontal="center" vertical="center" wrapText="1"/>
    </xf>
    <xf numFmtId="0" fontId="54" fillId="33" borderId="0" xfId="111" applyFont="1" applyFill="1" applyAlignment="1">
      <alignment horizontal="center" vertical="center" wrapText="1"/>
      <protection/>
    </xf>
    <xf numFmtId="0" fontId="55" fillId="33" borderId="0" xfId="111" applyFont="1" applyFill="1" applyAlignment="1">
      <alignment horizontal="center" vertical="center" wrapText="1"/>
      <protection/>
    </xf>
    <xf numFmtId="180" fontId="55" fillId="33" borderId="0" xfId="42" applyNumberFormat="1" applyFont="1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180" fontId="4" fillId="33" borderId="10" xfId="42" applyNumberFormat="1" applyFont="1" applyFill="1" applyBorder="1" applyAlignment="1">
      <alignment horizontal="right" vertical="center" wrapText="1"/>
    </xf>
    <xf numFmtId="180" fontId="4" fillId="33" borderId="10" xfId="42" applyNumberFormat="1" applyFont="1" applyFill="1" applyBorder="1" applyAlignment="1">
      <alignment horizontal="center" vertical="center" wrapText="1"/>
    </xf>
    <xf numFmtId="182" fontId="4" fillId="33" borderId="10" xfId="77" applyNumberFormat="1" applyFont="1" applyFill="1" applyBorder="1" applyAlignment="1">
      <alignment horizontal="center" vertical="center" wrapText="1"/>
    </xf>
    <xf numFmtId="9" fontId="4" fillId="33" borderId="10" xfId="138" applyFont="1" applyFill="1" applyBorder="1" applyAlignment="1">
      <alignment horizontal="center" vertical="center" wrapText="1"/>
    </xf>
    <xf numFmtId="180" fontId="2" fillId="33" borderId="10" xfId="42" applyNumberFormat="1" applyFont="1" applyFill="1" applyBorder="1" applyAlignment="1">
      <alignment horizontal="center" vertical="center" wrapText="1"/>
    </xf>
    <xf numFmtId="180" fontId="82" fillId="33" borderId="10" xfId="42" applyNumberFormat="1" applyFont="1" applyFill="1" applyBorder="1" applyAlignment="1">
      <alignment vertical="center" wrapText="1"/>
    </xf>
    <xf numFmtId="0" fontId="88" fillId="33" borderId="0" xfId="111" applyFont="1" applyFill="1" applyAlignment="1">
      <alignment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3" fontId="4" fillId="33" borderId="11" xfId="42" applyNumberFormat="1" applyFont="1" applyFill="1" applyBorder="1" applyAlignment="1">
      <alignment horizontal="right" vertical="center"/>
    </xf>
    <xf numFmtId="0" fontId="4" fillId="33" borderId="11" xfId="135" applyFont="1" applyFill="1" applyBorder="1" applyAlignment="1">
      <alignment horizontal="justify" vertical="center" wrapText="1"/>
      <protection/>
    </xf>
    <xf numFmtId="43" fontId="4" fillId="33" borderId="11" xfId="42" applyNumberFormat="1" applyFont="1" applyFill="1" applyBorder="1" applyAlignment="1">
      <alignment horizontal="center" vertical="center" wrapText="1"/>
    </xf>
    <xf numFmtId="180" fontId="81" fillId="0" borderId="10" xfId="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0" fontId="0" fillId="0" borderId="0" xfId="42" applyNumberFormat="1" applyFont="1" applyAlignment="1">
      <alignment/>
    </xf>
    <xf numFmtId="43" fontId="6" fillId="0" borderId="0" xfId="47" applyNumberFormat="1" applyFont="1" applyAlignment="1">
      <alignment/>
    </xf>
    <xf numFmtId="43" fontId="6" fillId="0" borderId="0" xfId="47" applyFont="1" applyAlignment="1">
      <alignment/>
    </xf>
    <xf numFmtId="43" fontId="6" fillId="0" borderId="0" xfId="47" applyNumberFormat="1" applyFont="1" applyAlignment="1">
      <alignment/>
    </xf>
    <xf numFmtId="43" fontId="6" fillId="0" borderId="0" xfId="47" applyFont="1" applyAlignment="1">
      <alignment/>
    </xf>
    <xf numFmtId="43" fontId="2" fillId="0" borderId="10" xfId="47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horizontal="center" vertical="center" wrapText="1"/>
    </xf>
    <xf numFmtId="43" fontId="12" fillId="0" borderId="0" xfId="0" applyNumberFormat="1" applyFont="1" applyAlignment="1">
      <alignment/>
    </xf>
    <xf numFmtId="185" fontId="4" fillId="0" borderId="10" xfId="47" applyNumberFormat="1" applyFont="1" applyBorder="1" applyAlignment="1">
      <alignment horizontal="center" vertical="center" wrapText="1"/>
    </xf>
    <xf numFmtId="180" fontId="4" fillId="0" borderId="10" xfId="47" applyNumberFormat="1" applyFont="1" applyBorder="1" applyAlignment="1">
      <alignment/>
    </xf>
    <xf numFmtId="43" fontId="4" fillId="0" borderId="0" xfId="47" applyNumberFormat="1" applyFont="1" applyBorder="1" applyAlignment="1">
      <alignment horizontal="center" vertical="center" wrapText="1"/>
    </xf>
    <xf numFmtId="43" fontId="2" fillId="0" borderId="0" xfId="47" applyFont="1" applyBorder="1" applyAlignment="1">
      <alignment horizontal="center" vertical="center" wrapText="1"/>
    </xf>
    <xf numFmtId="43" fontId="4" fillId="0" borderId="0" xfId="47" applyFont="1" applyBorder="1" applyAlignment="1">
      <alignment horizontal="center" vertical="center" wrapText="1"/>
    </xf>
    <xf numFmtId="180" fontId="2" fillId="0" borderId="0" xfId="47" applyNumberFormat="1" applyFont="1" applyBorder="1" applyAlignment="1">
      <alignment horizontal="center" vertical="center" wrapText="1"/>
    </xf>
    <xf numFmtId="180" fontId="6" fillId="0" borderId="0" xfId="47" applyNumberFormat="1" applyFont="1" applyAlignment="1">
      <alignment/>
    </xf>
    <xf numFmtId="180" fontId="10" fillId="0" borderId="0" xfId="47" applyNumberFormat="1" applyFont="1" applyAlignment="1">
      <alignment/>
    </xf>
    <xf numFmtId="43" fontId="6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187" fontId="12" fillId="0" borderId="10" xfId="42" applyNumberFormat="1" applyFont="1" applyBorder="1" applyAlignment="1">
      <alignment horizontal="center" vertical="center" wrapText="1"/>
    </xf>
    <xf numFmtId="180" fontId="12" fillId="0" borderId="10" xfId="47" applyNumberFormat="1" applyFont="1" applyBorder="1" applyAlignment="1">
      <alignment vertical="center" wrapText="1"/>
    </xf>
    <xf numFmtId="43" fontId="12" fillId="0" borderId="10" xfId="47" applyNumberFormat="1" applyFont="1" applyBorder="1" applyAlignment="1">
      <alignment vertical="center" wrapText="1"/>
    </xf>
    <xf numFmtId="43" fontId="12" fillId="0" borderId="10" xfId="47" applyFont="1" applyBorder="1" applyAlignment="1">
      <alignment vertical="center" wrapText="1"/>
    </xf>
    <xf numFmtId="180" fontId="12" fillId="0" borderId="10" xfId="42" applyNumberFormat="1" applyFont="1" applyBorder="1" applyAlignment="1">
      <alignment vertical="center" wrapText="1"/>
    </xf>
    <xf numFmtId="187" fontId="2" fillId="0" borderId="10" xfId="42" applyNumberFormat="1" applyFont="1" applyBorder="1" applyAlignment="1">
      <alignment horizontal="center" vertical="center" wrapText="1"/>
    </xf>
    <xf numFmtId="187" fontId="12" fillId="0" borderId="10" xfId="42" applyNumberFormat="1" applyFont="1" applyBorder="1" applyAlignment="1">
      <alignment vertical="center" wrapText="1"/>
    </xf>
    <xf numFmtId="187" fontId="2" fillId="0" borderId="0" xfId="42" applyNumberFormat="1" applyFont="1" applyBorder="1" applyAlignment="1">
      <alignment horizontal="center" vertical="center" wrapText="1"/>
    </xf>
    <xf numFmtId="187" fontId="4" fillId="0" borderId="0" xfId="42" applyNumberFormat="1" applyFont="1" applyBorder="1" applyAlignment="1">
      <alignment horizontal="center" vertical="center" wrapText="1"/>
    </xf>
    <xf numFmtId="187" fontId="6" fillId="0" borderId="0" xfId="42" applyNumberFormat="1" applyFont="1" applyAlignment="1">
      <alignment/>
    </xf>
    <xf numFmtId="187" fontId="81" fillId="0" borderId="10" xfId="42" applyNumberFormat="1" applyFont="1" applyBorder="1" applyAlignment="1">
      <alignment horizontal="center" vertical="center" wrapText="1"/>
    </xf>
    <xf numFmtId="187" fontId="82" fillId="0" borderId="10" xfId="42" applyNumberFormat="1" applyFont="1" applyBorder="1" applyAlignment="1">
      <alignment horizontal="center" vertical="center" wrapText="1"/>
    </xf>
    <xf numFmtId="187" fontId="83" fillId="0" borderId="10" xfId="42" applyNumberFormat="1" applyFont="1" applyBorder="1" applyAlignment="1">
      <alignment vertical="center" wrapText="1"/>
    </xf>
    <xf numFmtId="180" fontId="86" fillId="0" borderId="10" xfId="42" applyNumberFormat="1" applyFont="1" applyBorder="1" applyAlignment="1">
      <alignment vertical="center" wrapText="1"/>
    </xf>
    <xf numFmtId="43" fontId="86" fillId="0" borderId="10" xfId="42" applyFont="1" applyBorder="1" applyAlignment="1">
      <alignment vertical="center" wrapText="1"/>
    </xf>
    <xf numFmtId="180" fontId="0" fillId="0" borderId="0" xfId="42" applyNumberFormat="1" applyFont="1" applyAlignment="1">
      <alignment/>
    </xf>
    <xf numFmtId="187" fontId="2" fillId="33" borderId="10" xfId="42" applyNumberFormat="1" applyFont="1" applyFill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0" fontId="2" fillId="33" borderId="10" xfId="111" applyFont="1" applyFill="1" applyBorder="1" applyAlignment="1">
      <alignment horizontal="center" vertical="center" wrapText="1"/>
      <protection/>
    </xf>
    <xf numFmtId="180" fontId="2" fillId="33" borderId="10" xfId="42" applyNumberFormat="1" applyFont="1" applyFill="1" applyBorder="1" applyAlignment="1">
      <alignment horizontal="center" vertical="center" wrapText="1"/>
    </xf>
    <xf numFmtId="180" fontId="4" fillId="33" borderId="0" xfId="42" applyNumberFormat="1" applyFont="1" applyFill="1" applyAlignment="1">
      <alignment horizontal="center" vertical="center" wrapText="1"/>
    </xf>
    <xf numFmtId="187" fontId="2" fillId="33" borderId="10" xfId="42" applyNumberFormat="1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9" fontId="2" fillId="33" borderId="13" xfId="111" applyNumberFormat="1" applyFont="1" applyFill="1" applyBorder="1" applyAlignment="1">
      <alignment horizontal="center" vertical="center" wrapText="1"/>
      <protection/>
    </xf>
    <xf numFmtId="0" fontId="2" fillId="33" borderId="13" xfId="111" applyFont="1" applyFill="1" applyBorder="1" applyAlignment="1">
      <alignment vertical="center" wrapText="1"/>
      <protection/>
    </xf>
    <xf numFmtId="180" fontId="2" fillId="33" borderId="13" xfId="42" applyNumberFormat="1" applyFont="1" applyFill="1" applyBorder="1" applyAlignment="1">
      <alignment horizontal="center" vertical="center" wrapText="1"/>
    </xf>
    <xf numFmtId="182" fontId="2" fillId="33" borderId="13" xfId="111" applyNumberFormat="1" applyFont="1" applyFill="1" applyBorder="1" applyAlignment="1">
      <alignment horizontal="center" vertical="center" wrapText="1"/>
      <protection/>
    </xf>
    <xf numFmtId="43" fontId="2" fillId="33" borderId="13" xfId="42" applyFont="1" applyFill="1" applyBorder="1" applyAlignment="1">
      <alignment horizontal="center" vertical="center" wrapText="1"/>
    </xf>
    <xf numFmtId="187" fontId="2" fillId="33" borderId="13" xfId="77" applyNumberFormat="1" applyFont="1" applyFill="1" applyBorder="1" applyAlignment="1">
      <alignment horizontal="center" vertical="center" wrapText="1"/>
    </xf>
    <xf numFmtId="49" fontId="4" fillId="33" borderId="11" xfId="111" applyNumberFormat="1" applyFont="1" applyFill="1" applyBorder="1" applyAlignment="1">
      <alignment horizontal="center" vertical="center" wrapText="1"/>
      <protection/>
    </xf>
    <xf numFmtId="18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111" applyFont="1" applyFill="1" applyBorder="1" applyAlignment="1">
      <alignment horizontal="center" vertical="center" wrapText="1"/>
      <protection/>
    </xf>
    <xf numFmtId="43" fontId="4" fillId="33" borderId="11" xfId="42" applyFont="1" applyFill="1" applyBorder="1" applyAlignment="1">
      <alignment horizontal="center" vertical="center" wrapText="1"/>
    </xf>
    <xf numFmtId="183" fontId="4" fillId="33" borderId="11" xfId="111" applyNumberFormat="1" applyFont="1" applyFill="1" applyBorder="1" applyAlignment="1">
      <alignment horizontal="center" vertical="center" wrapText="1"/>
      <protection/>
    </xf>
    <xf numFmtId="182" fontId="4" fillId="33" borderId="11" xfId="42" applyNumberFormat="1" applyFont="1" applyFill="1" applyBorder="1" applyAlignment="1">
      <alignment horizontal="right" vertical="center"/>
    </xf>
    <xf numFmtId="187" fontId="4" fillId="33" borderId="11" xfId="77" applyNumberFormat="1" applyFont="1" applyFill="1" applyBorder="1" applyAlignment="1">
      <alignment horizontal="center" vertical="center" wrapText="1"/>
    </xf>
    <xf numFmtId="49" fontId="2" fillId="33" borderId="11" xfId="111" applyNumberFormat="1" applyFont="1" applyFill="1" applyBorder="1" applyAlignment="1">
      <alignment horizontal="center" vertical="center" wrapText="1"/>
      <protection/>
    </xf>
    <xf numFmtId="0" fontId="2" fillId="33" borderId="11" xfId="111" applyFont="1" applyFill="1" applyBorder="1" applyAlignment="1">
      <alignment vertical="center" wrapText="1"/>
      <protection/>
    </xf>
    <xf numFmtId="180" fontId="2" fillId="33" borderId="11" xfId="42" applyNumberFormat="1" applyFont="1" applyFill="1" applyBorder="1" applyAlignment="1">
      <alignment horizontal="center" vertical="center" wrapText="1"/>
    </xf>
    <xf numFmtId="0" fontId="2" fillId="33" borderId="11" xfId="111" applyFont="1" applyFill="1" applyBorder="1" applyAlignment="1">
      <alignment horizontal="center" vertical="center" wrapText="1"/>
      <protection/>
    </xf>
    <xf numFmtId="43" fontId="2" fillId="33" borderId="11" xfId="42" applyFont="1" applyFill="1" applyBorder="1" applyAlignment="1">
      <alignment horizontal="center" vertical="center" wrapText="1"/>
    </xf>
    <xf numFmtId="43" fontId="2" fillId="33" borderId="11" xfId="42" applyNumberFormat="1" applyFont="1" applyFill="1" applyBorder="1" applyAlignment="1">
      <alignment horizontal="center" vertical="center" wrapText="1"/>
    </xf>
    <xf numFmtId="187" fontId="4" fillId="33" borderId="11" xfId="77" applyNumberFormat="1" applyFont="1" applyFill="1" applyBorder="1" applyAlignment="1">
      <alignment horizontal="left" vertical="center" wrapText="1"/>
    </xf>
    <xf numFmtId="43" fontId="47" fillId="33" borderId="11" xfId="42" applyNumberFormat="1" applyFont="1" applyFill="1" applyBorder="1" applyAlignment="1">
      <alignment/>
    </xf>
    <xf numFmtId="187" fontId="4" fillId="33" borderId="14" xfId="77" applyNumberFormat="1" applyFont="1" applyFill="1" applyBorder="1" applyAlignment="1">
      <alignment horizontal="center" vertical="center" wrapText="1"/>
    </xf>
    <xf numFmtId="187" fontId="4" fillId="33" borderId="14" xfId="77" applyNumberFormat="1" applyFont="1" applyFill="1" applyBorder="1" applyAlignment="1">
      <alignment horizontal="left" vertical="center" wrapText="1"/>
    </xf>
    <xf numFmtId="43" fontId="4" fillId="33" borderId="14" xfId="42" applyFont="1" applyFill="1" applyBorder="1" applyAlignment="1">
      <alignment horizontal="center" vertical="center" wrapText="1"/>
    </xf>
    <xf numFmtId="43" fontId="4" fillId="33" borderId="14" xfId="42" applyNumberFormat="1" applyFont="1" applyFill="1" applyBorder="1" applyAlignment="1">
      <alignment horizontal="center" vertical="center" wrapText="1"/>
    </xf>
    <xf numFmtId="43" fontId="47" fillId="33" borderId="14" xfId="42" applyNumberFormat="1" applyFont="1" applyFill="1" applyBorder="1" applyAlignment="1">
      <alignment/>
    </xf>
    <xf numFmtId="187" fontId="11" fillId="33" borderId="10" xfId="42" applyNumberFormat="1" applyFont="1" applyFill="1" applyBorder="1" applyAlignment="1">
      <alignment vertical="center" wrapText="1"/>
    </xf>
    <xf numFmtId="180" fontId="11" fillId="33" borderId="10" xfId="42" applyNumberFormat="1" applyFont="1" applyFill="1" applyBorder="1" applyAlignment="1">
      <alignment horizontal="center" vertical="center" wrapText="1"/>
    </xf>
    <xf numFmtId="180" fontId="56" fillId="33" borderId="0" xfId="42" applyNumberFormat="1" applyFont="1" applyFill="1" applyAlignment="1">
      <alignment/>
    </xf>
    <xf numFmtId="0" fontId="2" fillId="33" borderId="13" xfId="111" applyFont="1" applyFill="1" applyBorder="1" applyAlignment="1">
      <alignment horizontal="center" vertical="center" wrapText="1"/>
      <protection/>
    </xf>
    <xf numFmtId="182" fontId="2" fillId="33" borderId="11" xfId="111" applyNumberFormat="1" applyFont="1" applyFill="1" applyBorder="1" applyAlignment="1">
      <alignment horizontal="center" vertical="center" wrapText="1"/>
      <protection/>
    </xf>
    <xf numFmtId="9" fontId="4" fillId="33" borderId="11" xfId="138" applyFont="1" applyFill="1" applyBorder="1" applyAlignment="1">
      <alignment horizontal="center" vertical="center" wrapText="1"/>
    </xf>
    <xf numFmtId="187" fontId="2" fillId="33" borderId="13" xfId="42" applyNumberFormat="1" applyFont="1" applyFill="1" applyBorder="1" applyAlignment="1">
      <alignment horizontal="center" vertical="center" wrapText="1"/>
    </xf>
    <xf numFmtId="187" fontId="4" fillId="33" borderId="11" xfId="42" applyNumberFormat="1" applyFont="1" applyFill="1" applyBorder="1" applyAlignment="1">
      <alignment horizontal="center" vertical="center" wrapText="1"/>
    </xf>
    <xf numFmtId="187" fontId="2" fillId="33" borderId="11" xfId="42" applyNumberFormat="1" applyFont="1" applyFill="1" applyBorder="1" applyAlignment="1">
      <alignment horizontal="center" vertical="center" wrapText="1"/>
    </xf>
    <xf numFmtId="187" fontId="4" fillId="33" borderId="14" xfId="42" applyNumberFormat="1" applyFont="1" applyFill="1" applyBorder="1" applyAlignment="1">
      <alignment horizontal="center" vertical="center" wrapText="1"/>
    </xf>
    <xf numFmtId="187" fontId="16" fillId="33" borderId="0" xfId="42" applyNumberFormat="1" applyFont="1" applyFill="1" applyAlignment="1">
      <alignment/>
    </xf>
    <xf numFmtId="187" fontId="0" fillId="0" borderId="11" xfId="42" applyNumberFormat="1" applyFont="1" applyBorder="1" applyAlignment="1">
      <alignment/>
    </xf>
    <xf numFmtId="187" fontId="4" fillId="33" borderId="11" xfId="42" applyNumberFormat="1" applyFont="1" applyFill="1" applyBorder="1" applyAlignment="1">
      <alignment horizontal="right" vertical="center"/>
    </xf>
    <xf numFmtId="187" fontId="47" fillId="33" borderId="11" xfId="42" applyNumberFormat="1" applyFont="1" applyFill="1" applyBorder="1" applyAlignment="1">
      <alignment/>
    </xf>
    <xf numFmtId="187" fontId="0" fillId="0" borderId="14" xfId="42" applyNumberFormat="1" applyFont="1" applyBorder="1" applyAlignment="1">
      <alignment/>
    </xf>
    <xf numFmtId="43" fontId="88" fillId="33" borderId="0" xfId="42" applyFont="1" applyFill="1" applyAlignment="1">
      <alignment/>
    </xf>
    <xf numFmtId="43" fontId="2" fillId="33" borderId="0" xfId="111" applyNumberFormat="1" applyFont="1" applyFill="1">
      <alignment/>
      <protection/>
    </xf>
    <xf numFmtId="0" fontId="82" fillId="0" borderId="10" xfId="0" applyFont="1" applyBorder="1" applyAlignment="1">
      <alignment horizontal="center" vertical="center" wrapText="1"/>
    </xf>
    <xf numFmtId="180" fontId="81" fillId="0" borderId="10" xfId="42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187" fontId="2" fillId="33" borderId="10" xfId="42" applyNumberFormat="1" applyFont="1" applyFill="1" applyBorder="1" applyAlignment="1">
      <alignment horizontal="center" vertical="center" wrapText="1"/>
    </xf>
    <xf numFmtId="0" fontId="2" fillId="33" borderId="10" xfId="111" applyFont="1" applyFill="1" applyBorder="1" applyAlignment="1">
      <alignment horizontal="center" vertical="center" wrapText="1"/>
      <protection/>
    </xf>
    <xf numFmtId="43" fontId="2" fillId="33" borderId="10" xfId="42" applyNumberFormat="1" applyFont="1" applyFill="1" applyBorder="1" applyAlignment="1">
      <alignment horizontal="center" vertical="center" wrapText="1"/>
    </xf>
    <xf numFmtId="180" fontId="2" fillId="33" borderId="10" xfId="42" applyNumberFormat="1" applyFont="1" applyFill="1" applyBorder="1" applyAlignment="1">
      <alignment horizontal="center" vertical="center" wrapText="1"/>
    </xf>
    <xf numFmtId="0" fontId="81" fillId="33" borderId="10" xfId="111" applyFont="1" applyFill="1" applyBorder="1" applyAlignment="1">
      <alignment horizontal="center" vertical="center" wrapText="1"/>
      <protection/>
    </xf>
    <xf numFmtId="180" fontId="81" fillId="33" borderId="10" xfId="42" applyNumberFormat="1" applyFont="1" applyFill="1" applyBorder="1" applyAlignment="1">
      <alignment horizontal="center" vertical="center" wrapText="1"/>
    </xf>
    <xf numFmtId="43" fontId="6" fillId="0" borderId="0" xfId="42" applyFont="1" applyAlignment="1">
      <alignment/>
    </xf>
    <xf numFmtId="43" fontId="10" fillId="0" borderId="0" xfId="42" applyFont="1" applyAlignment="1">
      <alignment/>
    </xf>
    <xf numFmtId="0" fontId="6" fillId="0" borderId="0" xfId="0" applyFont="1" applyAlignment="1">
      <alignment horizontal="center"/>
    </xf>
    <xf numFmtId="180" fontId="2" fillId="0" borderId="0" xfId="42" applyNumberFormat="1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2" fillId="0" borderId="13" xfId="42" applyFont="1" applyBorder="1" applyAlignment="1">
      <alignment vertical="center" wrapText="1"/>
    </xf>
    <xf numFmtId="180" fontId="2" fillId="0" borderId="13" xfId="42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180" fontId="10" fillId="0" borderId="11" xfId="42" applyNumberFormat="1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0" fontId="6" fillId="0" borderId="11" xfId="42" applyNumberFormat="1" applyFont="1" applyBorder="1" applyAlignment="1">
      <alignment/>
    </xf>
    <xf numFmtId="184" fontId="6" fillId="0" borderId="11" xfId="42" applyNumberFormat="1" applyFont="1" applyBorder="1" applyAlignment="1">
      <alignment/>
    </xf>
    <xf numFmtId="184" fontId="10" fillId="0" borderId="11" xfId="42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80" fontId="10" fillId="0" borderId="14" xfId="42" applyNumberFormat="1" applyFont="1" applyBorder="1" applyAlignment="1">
      <alignment/>
    </xf>
    <xf numFmtId="184" fontId="10" fillId="0" borderId="14" xfId="42" applyNumberFormat="1" applyFont="1" applyBorder="1" applyAlignment="1">
      <alignment/>
    </xf>
    <xf numFmtId="43" fontId="4" fillId="0" borderId="14" xfId="42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87" fontId="4" fillId="0" borderId="15" xfId="42" applyNumberFormat="1" applyFont="1" applyBorder="1" applyAlignment="1">
      <alignment horizontal="center" vertical="center" wrapText="1"/>
    </xf>
    <xf numFmtId="187" fontId="2" fillId="0" borderId="15" xfId="42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7" fontId="2" fillId="0" borderId="11" xfId="42" applyNumberFormat="1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87" fontId="4" fillId="0" borderId="11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horizontal="justify" vertical="center"/>
    </xf>
    <xf numFmtId="3" fontId="4" fillId="0" borderId="11" xfId="0" applyNumberFormat="1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1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86" fillId="0" borderId="10" xfId="0" applyNumberFormat="1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5" xfId="0" applyFont="1" applyBorder="1" applyAlignment="1">
      <alignment vertical="center" wrapText="1"/>
    </xf>
    <xf numFmtId="187" fontId="82" fillId="0" borderId="15" xfId="42" applyNumberFormat="1" applyFont="1" applyBorder="1" applyAlignment="1">
      <alignment horizontal="center" vertical="center" wrapText="1"/>
    </xf>
    <xf numFmtId="187" fontId="81" fillId="0" borderId="15" xfId="42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vertical="center" wrapText="1"/>
    </xf>
    <xf numFmtId="187" fontId="81" fillId="0" borderId="13" xfId="42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vertical="center" wrapText="1"/>
    </xf>
    <xf numFmtId="187" fontId="81" fillId="0" borderId="11" xfId="42" applyNumberFormat="1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vertical="center" wrapText="1"/>
    </xf>
    <xf numFmtId="187" fontId="82" fillId="0" borderId="11" xfId="42" applyNumberFormat="1" applyFont="1" applyBorder="1" applyAlignment="1">
      <alignment horizontal="center" vertical="center" wrapText="1"/>
    </xf>
    <xf numFmtId="187" fontId="83" fillId="0" borderId="11" xfId="42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187" fontId="83" fillId="0" borderId="11" xfId="42" applyNumberFormat="1" applyFont="1" applyBorder="1" applyAlignment="1">
      <alignment vertical="center" wrapText="1"/>
    </xf>
    <xf numFmtId="180" fontId="81" fillId="0" borderId="0" xfId="42" applyNumberFormat="1" applyFont="1" applyAlignment="1">
      <alignment horizontal="left" vertical="center"/>
    </xf>
    <xf numFmtId="180" fontId="0" fillId="0" borderId="0" xfId="42" applyNumberFormat="1" applyFont="1" applyAlignment="1">
      <alignment wrapText="1"/>
    </xf>
    <xf numFmtId="180" fontId="86" fillId="0" borderId="10" xfId="42" applyNumberFormat="1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9" fontId="90" fillId="0" borderId="10" xfId="138" applyFont="1" applyBorder="1" applyAlignment="1">
      <alignment horizontal="center" vertical="center" wrapText="1"/>
    </xf>
    <xf numFmtId="0" fontId="91" fillId="0" borderId="0" xfId="0" applyFont="1" applyAlignment="1">
      <alignment/>
    </xf>
    <xf numFmtId="49" fontId="92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left" vertical="center" wrapText="1"/>
    </xf>
    <xf numFmtId="0" fontId="93" fillId="0" borderId="0" xfId="0" applyFont="1" applyAlignment="1">
      <alignment/>
    </xf>
    <xf numFmtId="180" fontId="81" fillId="0" borderId="10" xfId="42" applyNumberFormat="1" applyFont="1" applyBorder="1" applyAlignment="1">
      <alignment vertical="center" wrapText="1"/>
    </xf>
    <xf numFmtId="9" fontId="81" fillId="0" borderId="10" xfId="138" applyFont="1" applyBorder="1" applyAlignment="1">
      <alignment horizontal="center" vertical="center" wrapText="1"/>
    </xf>
    <xf numFmtId="180" fontId="83" fillId="0" borderId="10" xfId="42" applyNumberFormat="1" applyFont="1" applyBorder="1" applyAlignment="1">
      <alignment vertical="center" wrapText="1"/>
    </xf>
    <xf numFmtId="9" fontId="83" fillId="0" borderId="10" xfId="138" applyFont="1" applyBorder="1" applyAlignment="1">
      <alignment horizontal="center" vertical="center" wrapText="1"/>
    </xf>
    <xf numFmtId="180" fontId="82" fillId="0" borderId="10" xfId="42" applyNumberFormat="1" applyFont="1" applyBorder="1" applyAlignment="1">
      <alignment vertical="center" wrapText="1"/>
    </xf>
    <xf numFmtId="9" fontId="82" fillId="0" borderId="10" xfId="138" applyFont="1" applyBorder="1" applyAlignment="1">
      <alignment horizontal="center" vertical="center" wrapText="1"/>
    </xf>
    <xf numFmtId="43" fontId="81" fillId="0" borderId="10" xfId="42" applyFont="1" applyBorder="1" applyAlignment="1">
      <alignment vertical="center" wrapText="1"/>
    </xf>
    <xf numFmtId="187" fontId="85" fillId="0" borderId="0" xfId="42" applyNumberFormat="1" applyFont="1" applyAlignment="1">
      <alignment horizontal="left" vertical="center"/>
    </xf>
    <xf numFmtId="187" fontId="0" fillId="0" borderId="0" xfId="42" applyNumberFormat="1" applyFont="1" applyAlignment="1">
      <alignment wrapText="1"/>
    </xf>
    <xf numFmtId="187" fontId="86" fillId="0" borderId="10" xfId="42" applyNumberFormat="1" applyFont="1" applyBorder="1" applyAlignment="1">
      <alignment horizontal="center" vertical="center" wrapText="1"/>
    </xf>
    <xf numFmtId="187" fontId="81" fillId="0" borderId="10" xfId="42" applyNumberFormat="1" applyFont="1" applyBorder="1" applyAlignment="1">
      <alignment vertical="center" wrapText="1"/>
    </xf>
    <xf numFmtId="187" fontId="0" fillId="0" borderId="0" xfId="42" applyNumberFormat="1" applyFont="1" applyAlignment="1">
      <alignment/>
    </xf>
    <xf numFmtId="180" fontId="91" fillId="0" borderId="0" xfId="0" applyNumberFormat="1" applyFont="1" applyAlignment="1">
      <alignment/>
    </xf>
    <xf numFmtId="9" fontId="94" fillId="0" borderId="10" xfId="138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43" fontId="4" fillId="33" borderId="11" xfId="76" applyFont="1" applyFill="1" applyBorder="1" applyAlignment="1">
      <alignment horizontal="center" vertical="center" wrapText="1"/>
    </xf>
    <xf numFmtId="182" fontId="4" fillId="33" borderId="11" xfId="76" applyNumberFormat="1" applyFont="1" applyFill="1" applyBorder="1" applyAlignment="1">
      <alignment horizontal="center" vertical="center" wrapText="1"/>
    </xf>
    <xf numFmtId="43" fontId="4" fillId="0" borderId="11" xfId="76" applyFont="1" applyFill="1" applyBorder="1" applyAlignment="1">
      <alignment horizontal="center" vertical="center" wrapText="1"/>
    </xf>
    <xf numFmtId="43" fontId="4" fillId="33" borderId="11" xfId="76" applyFont="1" applyFill="1" applyBorder="1" applyAlignment="1">
      <alignment horizontal="center" vertical="center"/>
    </xf>
    <xf numFmtId="0" fontId="6" fillId="33" borderId="16" xfId="111" applyFont="1" applyFill="1" applyBorder="1" applyAlignment="1">
      <alignment horizontal="center" vertical="center"/>
      <protection/>
    </xf>
    <xf numFmtId="0" fontId="4" fillId="33" borderId="14" xfId="111" applyFont="1" applyFill="1" applyBorder="1" applyAlignment="1">
      <alignment horizontal="center" vertical="center" wrapText="1"/>
      <protection/>
    </xf>
    <xf numFmtId="0" fontId="6" fillId="33" borderId="14" xfId="111" applyFont="1" applyFill="1" applyBorder="1" applyAlignment="1">
      <alignment horizontal="center" vertical="center"/>
      <protection/>
    </xf>
    <xf numFmtId="180" fontId="4" fillId="33" borderId="14" xfId="42" applyNumberFormat="1" applyFont="1" applyFill="1" applyBorder="1" applyAlignment="1">
      <alignment horizontal="center" vertical="center" wrapText="1"/>
    </xf>
    <xf numFmtId="43" fontId="4" fillId="33" borderId="14" xfId="76" applyFont="1" applyFill="1" applyBorder="1" applyAlignment="1">
      <alignment horizontal="center" vertical="center" wrapText="1"/>
    </xf>
    <xf numFmtId="43" fontId="6" fillId="33" borderId="14" xfId="76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87" fontId="4" fillId="33" borderId="0" xfId="42" applyNumberFormat="1" applyFont="1" applyFill="1" applyBorder="1" applyAlignment="1">
      <alignment/>
    </xf>
    <xf numFmtId="187" fontId="4" fillId="33" borderId="0" xfId="42" applyNumberFormat="1" applyFont="1" applyFill="1" applyAlignment="1">
      <alignment/>
    </xf>
    <xf numFmtId="180" fontId="3" fillId="33" borderId="0" xfId="42" applyNumberFormat="1" applyFont="1" applyFill="1" applyAlignment="1">
      <alignment horizontal="right" vertical="center"/>
    </xf>
    <xf numFmtId="43" fontId="4" fillId="33" borderId="0" xfId="111" applyNumberFormat="1" applyFont="1" applyFill="1">
      <alignment/>
      <protection/>
    </xf>
    <xf numFmtId="180" fontId="3" fillId="33" borderId="10" xfId="42" applyNumberFormat="1" applyFont="1" applyFill="1" applyBorder="1" applyAlignment="1">
      <alignment vertical="center" wrapText="1"/>
    </xf>
    <xf numFmtId="187" fontId="3" fillId="33" borderId="10" xfId="42" applyNumberFormat="1" applyFont="1" applyFill="1" applyBorder="1" applyAlignment="1">
      <alignment vertical="center" wrapText="1"/>
    </xf>
    <xf numFmtId="180" fontId="4" fillId="33" borderId="0" xfId="42" applyNumberFormat="1" applyFont="1" applyFill="1" applyAlignment="1">
      <alignment/>
    </xf>
    <xf numFmtId="187" fontId="2" fillId="33" borderId="10" xfId="42" applyNumberFormat="1" applyFont="1" applyFill="1" applyBorder="1" applyAlignment="1">
      <alignment horizontal="right" vertical="center" wrapText="1"/>
    </xf>
    <xf numFmtId="180" fontId="2" fillId="33" borderId="10" xfId="42" applyNumberFormat="1" applyFont="1" applyFill="1" applyBorder="1" applyAlignment="1">
      <alignment horizontal="right" vertical="center" wrapText="1"/>
    </xf>
    <xf numFmtId="201" fontId="2" fillId="33" borderId="0" xfId="42" applyNumberFormat="1" applyFont="1" applyFill="1" applyAlignment="1">
      <alignment/>
    </xf>
    <xf numFmtId="184" fontId="2" fillId="33" borderId="0" xfId="42" applyNumberFormat="1" applyFont="1" applyFill="1" applyAlignment="1">
      <alignment/>
    </xf>
    <xf numFmtId="180" fontId="2" fillId="33" borderId="0" xfId="42" applyNumberFormat="1" applyFont="1" applyFill="1" applyAlignment="1">
      <alignment/>
    </xf>
    <xf numFmtId="187" fontId="2" fillId="33" borderId="0" xfId="42" applyNumberFormat="1" applyFont="1" applyFill="1" applyAlignment="1">
      <alignment/>
    </xf>
    <xf numFmtId="43" fontId="4" fillId="33" borderId="10" xfId="42" applyFont="1" applyFill="1" applyBorder="1" applyAlignment="1">
      <alignment horizontal="center" vertical="center" wrapText="1"/>
    </xf>
    <xf numFmtId="182" fontId="4" fillId="33" borderId="10" xfId="42" applyNumberFormat="1" applyFont="1" applyFill="1" applyBorder="1" applyAlignment="1">
      <alignment horizontal="center" vertical="center" wrapText="1"/>
    </xf>
    <xf numFmtId="187" fontId="4" fillId="33" borderId="10" xfId="42" applyNumberFormat="1" applyFont="1" applyFill="1" applyBorder="1" applyAlignment="1">
      <alignment horizontal="right" vertical="center" wrapText="1"/>
    </xf>
    <xf numFmtId="180" fontId="4" fillId="33" borderId="10" xfId="42" applyNumberFormat="1" applyFont="1" applyFill="1" applyBorder="1" applyAlignment="1">
      <alignment horizontal="right" vertical="center" wrapText="1"/>
    </xf>
    <xf numFmtId="0" fontId="4" fillId="33" borderId="11" xfId="111" applyFont="1" applyFill="1" applyBorder="1" applyAlignment="1">
      <alignment vertical="center" wrapText="1"/>
      <protection/>
    </xf>
    <xf numFmtId="187" fontId="4" fillId="33" borderId="11" xfId="42" applyNumberFormat="1" applyFont="1" applyFill="1" applyBorder="1" applyAlignment="1">
      <alignment horizontal="right" vertical="top" wrapText="1"/>
    </xf>
    <xf numFmtId="187" fontId="4" fillId="33" borderId="11" xfId="42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1" xfId="65" applyNumberFormat="1" applyFont="1" applyFill="1" applyBorder="1" applyAlignment="1">
      <alignment horizontal="left"/>
    </xf>
    <xf numFmtId="171" fontId="4" fillId="33" borderId="11" xfId="42" applyNumberFormat="1" applyFont="1" applyFill="1" applyBorder="1" applyAlignment="1">
      <alignment horizontal="left"/>
    </xf>
    <xf numFmtId="187" fontId="4" fillId="33" borderId="11" xfId="42" applyNumberFormat="1" applyFont="1" applyFill="1" applyBorder="1" applyAlignment="1">
      <alignment horizontal="right" vertical="center" wrapText="1"/>
    </xf>
    <xf numFmtId="180" fontId="4" fillId="33" borderId="11" xfId="42" applyNumberFormat="1" applyFont="1" applyFill="1" applyBorder="1" applyAlignment="1">
      <alignment horizontal="right" vertical="center" wrapText="1"/>
    </xf>
    <xf numFmtId="187" fontId="2" fillId="33" borderId="11" xfId="42" applyNumberFormat="1" applyFont="1" applyFill="1" applyBorder="1" applyAlignment="1">
      <alignment horizontal="right" vertical="center" wrapText="1"/>
    </xf>
    <xf numFmtId="180" fontId="2" fillId="33" borderId="11" xfId="42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43" fontId="4" fillId="33" borderId="11" xfId="77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87" fontId="4" fillId="33" borderId="14" xfId="42" applyNumberFormat="1" applyFont="1" applyFill="1" applyBorder="1" applyAlignment="1">
      <alignment/>
    </xf>
    <xf numFmtId="180" fontId="4" fillId="33" borderId="11" xfId="77" applyNumberFormat="1" applyFont="1" applyFill="1" applyBorder="1" applyAlignment="1">
      <alignment vertical="center" wrapText="1"/>
    </xf>
    <xf numFmtId="180" fontId="4" fillId="33" borderId="14" xfId="77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/>
    </xf>
    <xf numFmtId="187" fontId="2" fillId="0" borderId="0" xfId="42" applyNumberFormat="1" applyFont="1" applyAlignment="1">
      <alignment vertical="center"/>
    </xf>
    <xf numFmtId="187" fontId="4" fillId="0" borderId="10" xfId="42" applyNumberFormat="1" applyFont="1" applyBorder="1" applyAlignment="1">
      <alignment horizontal="center" vertical="center" wrapText="1"/>
    </xf>
    <xf numFmtId="187" fontId="2" fillId="0" borderId="13" xfId="42" applyNumberFormat="1" applyFont="1" applyBorder="1" applyAlignment="1">
      <alignment vertical="center" wrapText="1"/>
    </xf>
    <xf numFmtId="187" fontId="2" fillId="0" borderId="11" xfId="42" applyNumberFormat="1" applyFont="1" applyBorder="1" applyAlignment="1">
      <alignment vertical="center" wrapText="1"/>
    </xf>
    <xf numFmtId="187" fontId="4" fillId="0" borderId="11" xfId="42" applyNumberFormat="1" applyFont="1" applyBorder="1" applyAlignment="1">
      <alignment vertical="center" wrapText="1"/>
    </xf>
    <xf numFmtId="187" fontId="10" fillId="0" borderId="11" xfId="42" applyNumberFormat="1" applyFont="1" applyBorder="1" applyAlignment="1">
      <alignment/>
    </xf>
    <xf numFmtId="187" fontId="6" fillId="0" borderId="11" xfId="42" applyNumberFormat="1" applyFont="1" applyBorder="1" applyAlignment="1">
      <alignment/>
    </xf>
    <xf numFmtId="187" fontId="10" fillId="0" borderId="14" xfId="42" applyNumberFormat="1" applyFont="1" applyBorder="1" applyAlignment="1">
      <alignment/>
    </xf>
    <xf numFmtId="0" fontId="81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6" fillId="0" borderId="17" xfId="42" applyNumberFormat="1" applyFont="1" applyBorder="1" applyAlignment="1">
      <alignment horizontal="right"/>
    </xf>
    <xf numFmtId="187" fontId="10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0" xfId="42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2" fillId="0" borderId="10" xfId="47" applyNumberFormat="1" applyFont="1" applyBorder="1" applyAlignment="1">
      <alignment horizontal="center" vertical="center" wrapText="1"/>
    </xf>
    <xf numFmtId="43" fontId="2" fillId="0" borderId="18" xfId="47" applyFont="1" applyBorder="1" applyAlignment="1">
      <alignment horizontal="center" vertical="center" wrapText="1"/>
    </xf>
    <xf numFmtId="43" fontId="2" fillId="0" borderId="15" xfId="47" applyFont="1" applyBorder="1" applyAlignment="1">
      <alignment horizontal="center" vertical="center" wrapText="1"/>
    </xf>
    <xf numFmtId="187" fontId="6" fillId="0" borderId="0" xfId="42" applyNumberFormat="1" applyFont="1" applyAlignment="1">
      <alignment horizontal="center" vertical="center" wrapText="1"/>
    </xf>
    <xf numFmtId="187" fontId="6" fillId="0" borderId="0" xfId="42" applyNumberFormat="1" applyFont="1" applyAlignment="1">
      <alignment horizontal="center" wrapText="1"/>
    </xf>
    <xf numFmtId="187" fontId="3" fillId="0" borderId="17" xfId="42" applyNumberFormat="1" applyFont="1" applyBorder="1" applyAlignment="1">
      <alignment horizontal="right" vertical="center"/>
    </xf>
    <xf numFmtId="43" fontId="81" fillId="0" borderId="10" xfId="42" applyFont="1" applyBorder="1" applyAlignment="1">
      <alignment horizontal="center" vertical="center" wrapText="1"/>
    </xf>
    <xf numFmtId="43" fontId="83" fillId="0" borderId="17" xfId="42" applyFont="1" applyBorder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/>
    </xf>
    <xf numFmtId="180" fontId="81" fillId="0" borderId="18" xfId="42" applyNumberFormat="1" applyFont="1" applyBorder="1" applyAlignment="1">
      <alignment horizontal="center" vertical="center" wrapText="1"/>
    </xf>
    <xf numFmtId="180" fontId="81" fillId="0" borderId="15" xfId="42" applyNumberFormat="1" applyFont="1" applyBorder="1" applyAlignment="1">
      <alignment horizontal="center" vertical="center" wrapText="1"/>
    </xf>
    <xf numFmtId="187" fontId="81" fillId="0" borderId="18" xfId="42" applyNumberFormat="1" applyFont="1" applyBorder="1" applyAlignment="1">
      <alignment horizontal="center" vertical="center" wrapText="1"/>
    </xf>
    <xf numFmtId="187" fontId="81" fillId="0" borderId="15" xfId="42" applyNumberFormat="1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180" fontId="81" fillId="0" borderId="0" xfId="42" applyNumberFormat="1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180" fontId="0" fillId="0" borderId="17" xfId="42" applyNumberFormat="1" applyFont="1" applyBorder="1" applyAlignment="1">
      <alignment horizontal="center" wrapText="1"/>
    </xf>
    <xf numFmtId="0" fontId="2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87" fontId="4" fillId="33" borderId="0" xfId="42" applyNumberFormat="1" applyFont="1" applyFill="1" applyAlignment="1">
      <alignment horizontal="center" vertical="center" wrapText="1"/>
    </xf>
    <xf numFmtId="0" fontId="2" fillId="33" borderId="10" xfId="111" applyFont="1" applyFill="1" applyBorder="1" applyAlignment="1">
      <alignment horizontal="center" vertical="center" wrapText="1"/>
      <protection/>
    </xf>
    <xf numFmtId="187" fontId="2" fillId="33" borderId="10" xfId="42" applyNumberFormat="1" applyFont="1" applyFill="1" applyBorder="1" applyAlignment="1">
      <alignment horizontal="center" vertical="center" wrapText="1"/>
    </xf>
    <xf numFmtId="0" fontId="17" fillId="33" borderId="0" xfId="111" applyFont="1" applyFill="1" applyAlignment="1">
      <alignment horizontal="center" vertical="center" wrapText="1"/>
      <protection/>
    </xf>
    <xf numFmtId="0" fontId="2" fillId="33" borderId="19" xfId="111" applyFont="1" applyFill="1" applyBorder="1" applyAlignment="1">
      <alignment horizontal="center" vertical="center" wrapText="1"/>
      <protection/>
    </xf>
    <xf numFmtId="0" fontId="2" fillId="33" borderId="12" xfId="111" applyFont="1" applyFill="1" applyBorder="1" applyAlignment="1">
      <alignment horizontal="center" vertical="center" wrapText="1"/>
      <protection/>
    </xf>
    <xf numFmtId="180" fontId="2" fillId="33" borderId="10" xfId="42" applyNumberFormat="1" applyFont="1" applyFill="1" applyBorder="1" applyAlignment="1">
      <alignment horizontal="center" vertical="center" wrapText="1"/>
    </xf>
    <xf numFmtId="187" fontId="3" fillId="33" borderId="0" xfId="42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95" fillId="33" borderId="0" xfId="111" applyFont="1" applyFill="1" applyAlignment="1">
      <alignment horizontal="center" vertical="center" wrapText="1"/>
      <protection/>
    </xf>
    <xf numFmtId="0" fontId="81" fillId="33" borderId="10" xfId="111" applyFont="1" applyFill="1" applyBorder="1" applyAlignment="1">
      <alignment horizontal="center" vertical="center" wrapText="1"/>
      <protection/>
    </xf>
    <xf numFmtId="180" fontId="81" fillId="33" borderId="10" xfId="42" applyNumberFormat="1" applyFont="1" applyFill="1" applyBorder="1" applyAlignment="1">
      <alignment horizontal="center" vertical="center" wrapText="1"/>
    </xf>
    <xf numFmtId="49" fontId="2" fillId="33" borderId="10" xfId="111" applyNumberFormat="1" applyFont="1" applyFill="1" applyBorder="1" applyAlignment="1">
      <alignment horizontal="center" vertical="center" wrapText="1"/>
      <protection/>
    </xf>
    <xf numFmtId="43" fontId="2" fillId="33" borderId="10" xfId="42" applyNumberFormat="1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 wrapText="1"/>
    </xf>
    <xf numFmtId="0" fontId="14" fillId="33" borderId="0" xfId="111" applyFont="1" applyFill="1" applyAlignment="1">
      <alignment horizontal="center" vertical="center" wrapText="1"/>
      <protection/>
    </xf>
    <xf numFmtId="0" fontId="18" fillId="33" borderId="17" xfId="111" applyFont="1" applyFill="1" applyBorder="1" applyAlignment="1">
      <alignment horizontal="center"/>
      <protection/>
    </xf>
    <xf numFmtId="0" fontId="4" fillId="33" borderId="0" xfId="111" applyFont="1" applyFill="1" applyAlignment="1">
      <alignment horizontal="center" vertical="center" wrapText="1"/>
      <protection/>
    </xf>
    <xf numFmtId="0" fontId="13" fillId="33" borderId="0" xfId="0" applyFont="1" applyFill="1" applyAlignment="1">
      <alignment horizontal="center" vertical="center" wrapText="1"/>
    </xf>
    <xf numFmtId="180" fontId="2" fillId="33" borderId="0" xfId="42" applyNumberFormat="1" applyFont="1" applyFill="1" applyAlignment="1">
      <alignment horizontal="center" vertical="center" wrapText="1"/>
    </xf>
    <xf numFmtId="180" fontId="2" fillId="33" borderId="18" xfId="42" applyNumberFormat="1" applyFont="1" applyFill="1" applyBorder="1" applyAlignment="1">
      <alignment horizontal="center" vertical="center" wrapText="1"/>
    </xf>
    <xf numFmtId="180" fontId="2" fillId="33" borderId="20" xfId="42" applyNumberFormat="1" applyFont="1" applyFill="1" applyBorder="1" applyAlignment="1">
      <alignment horizontal="center" vertical="center" wrapText="1"/>
    </xf>
    <xf numFmtId="180" fontId="2" fillId="33" borderId="15" xfId="42" applyNumberFormat="1" applyFont="1" applyFill="1" applyBorder="1" applyAlignment="1">
      <alignment horizontal="center" vertical="center" wrapText="1"/>
    </xf>
    <xf numFmtId="0" fontId="13" fillId="33" borderId="0" xfId="111" applyFont="1" applyFill="1" applyAlignment="1">
      <alignment horizontal="center" vertical="center" wrapText="1"/>
      <protection/>
    </xf>
    <xf numFmtId="0" fontId="2" fillId="33" borderId="18" xfId="111" applyFont="1" applyFill="1" applyBorder="1" applyAlignment="1">
      <alignment horizontal="center" vertical="center" wrapText="1"/>
      <protection/>
    </xf>
    <xf numFmtId="0" fontId="2" fillId="33" borderId="20" xfId="111" applyFont="1" applyFill="1" applyBorder="1" applyAlignment="1">
      <alignment horizontal="center" vertical="center" wrapText="1"/>
      <protection/>
    </xf>
    <xf numFmtId="0" fontId="2" fillId="33" borderId="15" xfId="111" applyFont="1" applyFill="1" applyBorder="1" applyAlignment="1">
      <alignment horizontal="center" vertical="center" wrapText="1"/>
      <protection/>
    </xf>
    <xf numFmtId="180" fontId="2" fillId="33" borderId="19" xfId="42" applyNumberFormat="1" applyFont="1" applyFill="1" applyBorder="1" applyAlignment="1">
      <alignment horizontal="center" vertical="center" wrapText="1"/>
    </xf>
    <xf numFmtId="180" fontId="2" fillId="33" borderId="21" xfId="42" applyNumberFormat="1" applyFont="1" applyFill="1" applyBorder="1" applyAlignment="1">
      <alignment horizontal="center" vertical="center" wrapText="1"/>
    </xf>
    <xf numFmtId="180" fontId="2" fillId="33" borderId="12" xfId="42" applyNumberFormat="1" applyFont="1" applyFill="1" applyBorder="1" applyAlignment="1">
      <alignment horizontal="center" vertical="center" wrapText="1"/>
    </xf>
    <xf numFmtId="180" fontId="4" fillId="33" borderId="0" xfId="42" applyNumberFormat="1" applyFont="1" applyFill="1" applyAlignment="1">
      <alignment horizontal="center" vertical="center" wrapText="1"/>
    </xf>
    <xf numFmtId="180" fontId="3" fillId="33" borderId="17" xfId="42" applyNumberFormat="1" applyFont="1" applyFill="1" applyBorder="1" applyAlignment="1">
      <alignment horizontal="center" vertical="center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4 2" xfId="50"/>
    <cellStyle name="Comma 14 2 2" xfId="51"/>
    <cellStyle name="Comma 14 2 2 2" xfId="52"/>
    <cellStyle name="Comma 14 2 2 2 2" xfId="53"/>
    <cellStyle name="Comma 14 2 2 3" xfId="54"/>
    <cellStyle name="Comma 14 2 3" xfId="55"/>
    <cellStyle name="Comma 14 2 3 2" xfId="56"/>
    <cellStyle name="Comma 14 2 4" xfId="57"/>
    <cellStyle name="Comma 14 3" xfId="58"/>
    <cellStyle name="Comma 14 3 2" xfId="59"/>
    <cellStyle name="Comma 14 3 2 2" xfId="60"/>
    <cellStyle name="Comma 14 3 3" xfId="61"/>
    <cellStyle name="Comma 14 4" xfId="62"/>
    <cellStyle name="Comma 14 4 2" xfId="63"/>
    <cellStyle name="Comma 14 5" xfId="64"/>
    <cellStyle name="Comma 15" xfId="65"/>
    <cellStyle name="Comma 16" xfId="66"/>
    <cellStyle name="Comma 17" xfId="67"/>
    <cellStyle name="Comma 17 3" xfId="68"/>
    <cellStyle name="Comma 19" xfId="69"/>
    <cellStyle name="Comma 2" xfId="70"/>
    <cellStyle name="Comma 2 2" xfId="71"/>
    <cellStyle name="Comma 2 2 2" xfId="72"/>
    <cellStyle name="Comma 2 2 2 2" xfId="73"/>
    <cellStyle name="Comma 2 2 3" xfId="74"/>
    <cellStyle name="Comma 2 3" xfId="75"/>
    <cellStyle name="Comma 24" xfId="76"/>
    <cellStyle name="Comma 25" xfId="77"/>
    <cellStyle name="Comma 26" xfId="78"/>
    <cellStyle name="Comma 28" xfId="79"/>
    <cellStyle name="Comma 28 2" xfId="80"/>
    <cellStyle name="Comma 28 2 2" xfId="81"/>
    <cellStyle name="Comma 28 2 2 2" xfId="82"/>
    <cellStyle name="Comma 28 2 3" xfId="83"/>
    <cellStyle name="Comma 28 3" xfId="84"/>
    <cellStyle name="Comma 28 3 2" xfId="85"/>
    <cellStyle name="Comma 28 4" xfId="86"/>
    <cellStyle name="Comma 3" xfId="87"/>
    <cellStyle name="Comma 30" xfId="88"/>
    <cellStyle name="Comma 4" xfId="89"/>
    <cellStyle name="Comma 5" xfId="90"/>
    <cellStyle name="Comma 6" xfId="91"/>
    <cellStyle name="Comma 7" xfId="92"/>
    <cellStyle name="Comma 8" xfId="93"/>
    <cellStyle name="Comma 9" xfId="94"/>
    <cellStyle name="Currency" xfId="95"/>
    <cellStyle name="Currency [0]" xfId="96"/>
    <cellStyle name="Explanatory Text" xfId="97"/>
    <cellStyle name="Followed Hyperlink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Input" xfId="105"/>
    <cellStyle name="Linked Cell" xfId="106"/>
    <cellStyle name="Neutral" xfId="107"/>
    <cellStyle name="Normal 10" xfId="108"/>
    <cellStyle name="Normal 106" xfId="109"/>
    <cellStyle name="Normal 119" xfId="110"/>
    <cellStyle name="Normal 2" xfId="111"/>
    <cellStyle name="Normal 2 2 2" xfId="112"/>
    <cellStyle name="Normal 2 5" xfId="113"/>
    <cellStyle name="Normal 20" xfId="114"/>
    <cellStyle name="Normal 21" xfId="115"/>
    <cellStyle name="Normal 23" xfId="116"/>
    <cellStyle name="Normal 25" xfId="117"/>
    <cellStyle name="Normal 26" xfId="118"/>
    <cellStyle name="Normal 3" xfId="119"/>
    <cellStyle name="Normal 3 2" xfId="120"/>
    <cellStyle name="Normal 3 3" xfId="121"/>
    <cellStyle name="Normal 3 3 2" xfId="122"/>
    <cellStyle name="Normal 3 3 2 2" xfId="123"/>
    <cellStyle name="Normal 3 3 3" xfId="124"/>
    <cellStyle name="Normal 33" xfId="125"/>
    <cellStyle name="Normal 4" xfId="126"/>
    <cellStyle name="Normal 4 5" xfId="127"/>
    <cellStyle name="Normal 4 6 2" xfId="128"/>
    <cellStyle name="Normal 5" xfId="129"/>
    <cellStyle name="Normal 6" xfId="130"/>
    <cellStyle name="Normal 7" xfId="131"/>
    <cellStyle name="Normal 7 2" xfId="132"/>
    <cellStyle name="Normal 8" xfId="133"/>
    <cellStyle name="Normal 9" xfId="134"/>
    <cellStyle name="Normal_Sheet1" xfId="135"/>
    <cellStyle name="Note" xfId="136"/>
    <cellStyle name="Output" xfId="137"/>
    <cellStyle name="Percent" xfId="138"/>
    <cellStyle name="Percent 2" xfId="139"/>
    <cellStyle name="Percent 3" xfId="140"/>
    <cellStyle name="Percent 4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209550</xdr:rowOff>
    </xdr:from>
    <xdr:to>
      <xdr:col>1</xdr:col>
      <xdr:colOff>904875</xdr:colOff>
      <xdr:row>1</xdr:row>
      <xdr:rowOff>219075</xdr:rowOff>
    </xdr:to>
    <xdr:sp>
      <xdr:nvSpPr>
        <xdr:cNvPr id="1" name="Straight Connector 1"/>
        <xdr:cNvSpPr>
          <a:spLocks/>
        </xdr:cNvSpPr>
      </xdr:nvSpPr>
      <xdr:spPr>
        <a:xfrm flipV="1">
          <a:off x="114300" y="457200"/>
          <a:ext cx="1085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9525</xdr:rowOff>
    </xdr:from>
    <xdr:to>
      <xdr:col>2</xdr:col>
      <xdr:colOff>247650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09600" y="438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228600</xdr:rowOff>
    </xdr:from>
    <xdr:to>
      <xdr:col>1</xdr:col>
      <xdr:colOff>885825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57150" y="4667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238125</xdr:rowOff>
    </xdr:from>
    <xdr:to>
      <xdr:col>1</xdr:col>
      <xdr:colOff>1028700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247650" y="485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BI&#7874;U%20m&#789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&#258;M%202020\QUYET%20TOAN%202019\QUYET%20TOAN%20NS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&#258;M%202020\QUYET%20TOAN%202019\KHO%20XU&#194;T%20DU%20LIEU\Tong%20hop%20QT%20HCSN%20-%20HAN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 STC"/>
      <sheetName val="TIẾN"/>
      <sheetName val="thọ"/>
      <sheetName val="Hồng"/>
      <sheetName val="nam bac"/>
      <sheetName val="nam trung"/>
      <sheetName val="nam đông"/>
      <sheetName val="thang bac"/>
      <sheetName val="thắng trung"/>
      <sheetName val="thang trung"/>
      <sheetName val="thang nam"/>
      <sheetName val="DƯƠNG"/>
      <sheetName val="ngọc"/>
      <sheetName val="phương"/>
      <sheetName val="phước"/>
      <sheetName val="quang1"/>
      <sheetName val="minh"/>
      <sheetName val="PHONG"/>
      <sheetName val="AN"/>
      <sheetName val="TRUNG"/>
      <sheetName val="HÒA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 - Can Doi.TT 342"/>
      <sheetName val="61 Thu_TT 342"/>
      <sheetName val="62 chi_TT 342"/>
      <sheetName val="63 Thu MLNS"/>
      <sheetName val="64 Chi MLNS"/>
      <sheetName val="65_Chi MLNS"/>
      <sheetName val="61.ND 31. Chi tiet CT MTQG (2)"/>
      <sheetName val="MTQG (2)"/>
      <sheetName val="66_QLHC"/>
      <sheetName val="67_Thien tai"/>
      <sheetName val="68_DP, TT"/>
      <sheetName val="69_KTNN.TTra"/>
      <sheetName val="70_Chi CN"/>
      <sheetName val="54.ND 31. Chi tung don vi"/>
      <sheetName val="55. ND 31. Chi DTXD don vi"/>
      <sheetName val="56.ND 31. CHi TX don vi"/>
      <sheetName val="57.ND 31 DT don vi chi TX"/>
      <sheetName val="58.ND 31. Chi theo dia ban "/>
      <sheetName val="59.ND 31. Chi BS"/>
      <sheetName val="60_NĐ31 Thu(Huyen, xa) "/>
      <sheetName val="62.ND31.Dtu cong trung han"/>
      <sheetName val="01stc.tong hop "/>
      <sheetName val="02stc.huyen"/>
      <sheetName val="03stc. xa "/>
      <sheetName val="63_NĐ31. Quy TC "/>
      <sheetName val="64_NĐ31 (2)"/>
      <sheetName val="Tinh BS"/>
      <sheetName val="CN nam sau"/>
      <sheetName val="ket du "/>
      <sheetName val="Bieu 8_TCDT"/>
      <sheetName val="Biểu 09_Cac quy 1"/>
      <sheetName val="Biểu 10_Cac quy 2"/>
      <sheetName val="TỔNG HỢP TÊN BIỂU"/>
      <sheetName val="04CQTH"/>
      <sheetName val="Sheet1"/>
      <sheetName val="Sheet2"/>
    </sheetNames>
    <sheetDataSet>
      <sheetData sheetId="13">
        <row r="11">
          <cell r="T11">
            <v>24000.978999999996</v>
          </cell>
        </row>
        <row r="12">
          <cell r="L12">
            <v>18441.5</v>
          </cell>
          <cell r="R12">
            <v>2230.635</v>
          </cell>
          <cell r="S12">
            <v>1385.32</v>
          </cell>
        </row>
        <row r="109">
          <cell r="J109">
            <v>9352.291</v>
          </cell>
          <cell r="K109">
            <v>10752.004753000001</v>
          </cell>
          <cell r="L109">
            <v>6839.78</v>
          </cell>
          <cell r="P109">
            <v>9302.291</v>
          </cell>
          <cell r="Q109">
            <v>10452.004753000001</v>
          </cell>
          <cell r="R109">
            <v>6839.78</v>
          </cell>
        </row>
        <row r="110">
          <cell r="J110">
            <v>17296.911186</v>
          </cell>
          <cell r="K110">
            <v>10763.082784</v>
          </cell>
          <cell r="L110">
            <v>1632.23</v>
          </cell>
          <cell r="P110">
            <v>10852.462186</v>
          </cell>
          <cell r="Q110">
            <v>11194.374784</v>
          </cell>
          <cell r="R110">
            <v>770</v>
          </cell>
        </row>
        <row r="111">
          <cell r="J111">
            <v>8325.9084</v>
          </cell>
          <cell r="K111">
            <v>11176.544932</v>
          </cell>
          <cell r="L111">
            <v>929.953</v>
          </cell>
          <cell r="P111">
            <v>6426.779</v>
          </cell>
          <cell r="Q111">
            <v>10987.544932</v>
          </cell>
          <cell r="R111">
            <v>929.953</v>
          </cell>
        </row>
        <row r="112">
          <cell r="J112">
            <v>8532.444614</v>
          </cell>
          <cell r="K112">
            <v>9219.481081</v>
          </cell>
          <cell r="L112">
            <v>0</v>
          </cell>
          <cell r="P112">
            <v>3467.7096</v>
          </cell>
          <cell r="Q112">
            <v>8169.481081</v>
          </cell>
          <cell r="R112">
            <v>0</v>
          </cell>
        </row>
        <row r="113">
          <cell r="J113">
            <v>5382.6628</v>
          </cell>
          <cell r="K113">
            <v>13675.325999000002</v>
          </cell>
          <cell r="L113">
            <v>2316.425</v>
          </cell>
          <cell r="P113">
            <v>3631.3008</v>
          </cell>
          <cell r="Q113">
            <v>11070.262999</v>
          </cell>
          <cell r="R113">
            <v>2316.425</v>
          </cell>
        </row>
        <row r="114">
          <cell r="J114">
            <v>17779.475867</v>
          </cell>
          <cell r="K114">
            <v>15795.849707000001</v>
          </cell>
          <cell r="L114">
            <v>3809.59</v>
          </cell>
          <cell r="P114">
            <v>10832.35061</v>
          </cell>
          <cell r="Q114">
            <v>11204.365707</v>
          </cell>
          <cell r="R114">
            <v>3809.59</v>
          </cell>
        </row>
        <row r="115">
          <cell r="J115">
            <v>10160.749</v>
          </cell>
          <cell r="K115">
            <v>6715.4902839999995</v>
          </cell>
          <cell r="L115">
            <v>1985.43</v>
          </cell>
          <cell r="P115">
            <v>6924.164</v>
          </cell>
          <cell r="Q115">
            <v>6715.4902839999995</v>
          </cell>
          <cell r="R115">
            <v>1985.43</v>
          </cell>
        </row>
        <row r="116">
          <cell r="J116">
            <v>2453.656207</v>
          </cell>
          <cell r="K116">
            <v>8831.660632</v>
          </cell>
          <cell r="L116">
            <v>2674.995</v>
          </cell>
          <cell r="P116">
            <v>1510.2841500000002</v>
          </cell>
          <cell r="Q116">
            <v>7499.899575</v>
          </cell>
          <cell r="R116">
            <v>2645.581</v>
          </cell>
        </row>
        <row r="117">
          <cell r="J117">
            <v>5201.393602</v>
          </cell>
          <cell r="K117">
            <v>7921.250097</v>
          </cell>
          <cell r="L117">
            <v>3265.66</v>
          </cell>
          <cell r="P117">
            <v>3557.0420000000004</v>
          </cell>
          <cell r="Q117">
            <v>7341.910097</v>
          </cell>
          <cell r="R117">
            <v>3265.66</v>
          </cell>
        </row>
        <row r="118">
          <cell r="J118">
            <v>14611.124406</v>
          </cell>
          <cell r="K118">
            <v>22408.981394</v>
          </cell>
          <cell r="L118">
            <v>0</v>
          </cell>
          <cell r="P118">
            <v>12129.803406</v>
          </cell>
          <cell r="Q118">
            <v>21908.981394</v>
          </cell>
          <cell r="R118">
            <v>0</v>
          </cell>
        </row>
        <row r="119">
          <cell r="J119">
            <v>4293.888897000001</v>
          </cell>
          <cell r="K119">
            <v>11265.03986</v>
          </cell>
          <cell r="L119">
            <v>956.955</v>
          </cell>
          <cell r="P119">
            <v>1722.386938</v>
          </cell>
          <cell r="Q119">
            <v>10264.03986</v>
          </cell>
          <cell r="R119">
            <v>956.955</v>
          </cell>
        </row>
        <row r="120">
          <cell r="J120">
            <v>7715.666218</v>
          </cell>
          <cell r="K120">
            <v>10145.142168999999</v>
          </cell>
          <cell r="L120">
            <v>1450.085</v>
          </cell>
          <cell r="P120">
            <v>6664.996959</v>
          </cell>
          <cell r="Q120">
            <v>9909.326169</v>
          </cell>
          <cell r="R120">
            <v>1450.085</v>
          </cell>
        </row>
        <row r="121">
          <cell r="J121">
            <v>7809.808596999999</v>
          </cell>
          <cell r="K121">
            <v>12346.848268</v>
          </cell>
          <cell r="L121">
            <v>2218.735</v>
          </cell>
          <cell r="P121">
            <v>4570.98705</v>
          </cell>
          <cell r="Q121">
            <v>10531.663968</v>
          </cell>
          <cell r="R121">
            <v>2204.634</v>
          </cell>
        </row>
        <row r="122">
          <cell r="J122">
            <v>5343.922192</v>
          </cell>
          <cell r="K122">
            <v>12152.907893000001</v>
          </cell>
          <cell r="L122">
            <v>1482.157</v>
          </cell>
          <cell r="P122">
            <v>5069.938192</v>
          </cell>
          <cell r="Q122">
            <v>11118.576893000001</v>
          </cell>
          <cell r="R122">
            <v>1482.157</v>
          </cell>
        </row>
        <row r="123">
          <cell r="J123">
            <v>5004.69615</v>
          </cell>
          <cell r="K123">
            <v>11081.690295</v>
          </cell>
          <cell r="L123">
            <v>1140</v>
          </cell>
          <cell r="P123">
            <v>4713.69615</v>
          </cell>
          <cell r="Q123">
            <v>9874.820295</v>
          </cell>
          <cell r="R123">
            <v>1140</v>
          </cell>
        </row>
        <row r="124">
          <cell r="J124">
            <v>12736.252831000002</v>
          </cell>
          <cell r="K124">
            <v>14243.65155</v>
          </cell>
          <cell r="L124">
            <v>0</v>
          </cell>
          <cell r="P124">
            <v>7002.952793</v>
          </cell>
          <cell r="Q124">
            <v>14194.743014</v>
          </cell>
          <cell r="R124">
            <v>0</v>
          </cell>
        </row>
        <row r="125">
          <cell r="J125">
            <v>8198.779</v>
          </cell>
          <cell r="K125">
            <v>9083.463789</v>
          </cell>
          <cell r="L125">
            <v>1140</v>
          </cell>
          <cell r="P125">
            <v>8198.779</v>
          </cell>
          <cell r="Q125">
            <v>8311.764389</v>
          </cell>
          <cell r="R125">
            <v>1140</v>
          </cell>
        </row>
        <row r="126">
          <cell r="J126">
            <v>6071.140310999999</v>
          </cell>
          <cell r="K126">
            <v>13603.147686</v>
          </cell>
          <cell r="L126">
            <v>770</v>
          </cell>
          <cell r="P126">
            <v>4715.474571</v>
          </cell>
          <cell r="Q126">
            <v>12136.916686</v>
          </cell>
          <cell r="R126">
            <v>770</v>
          </cell>
        </row>
        <row r="127">
          <cell r="J127">
            <v>5113.932</v>
          </cell>
          <cell r="K127">
            <v>7941.877425</v>
          </cell>
          <cell r="L127">
            <v>0</v>
          </cell>
          <cell r="P127">
            <v>2325.182</v>
          </cell>
          <cell r="Q127">
            <v>7830.627425</v>
          </cell>
          <cell r="R127">
            <v>0</v>
          </cell>
        </row>
        <row r="128">
          <cell r="J128">
            <v>9704.680381</v>
          </cell>
          <cell r="K128">
            <v>11745.261779</v>
          </cell>
          <cell r="L128">
            <v>0</v>
          </cell>
          <cell r="P128">
            <v>7780.295969</v>
          </cell>
          <cell r="Q128">
            <v>11238.869779</v>
          </cell>
          <cell r="R128">
            <v>0</v>
          </cell>
        </row>
      </sheetData>
      <sheetData sheetId="14">
        <row r="12">
          <cell r="C12">
            <v>976339.0951960001</v>
          </cell>
        </row>
        <row r="13">
          <cell r="C13">
            <v>796669.711537</v>
          </cell>
        </row>
        <row r="14">
          <cell r="C14">
            <v>458491.095631</v>
          </cell>
        </row>
        <row r="15">
          <cell r="C15">
            <v>18363.981956</v>
          </cell>
        </row>
        <row r="16">
          <cell r="C16">
            <v>21941.382999999998</v>
          </cell>
        </row>
        <row r="17">
          <cell r="C17">
            <v>5222.744000000001</v>
          </cell>
        </row>
        <row r="18">
          <cell r="C18">
            <v>230.679</v>
          </cell>
        </row>
        <row r="19">
          <cell r="C19">
            <v>1825.0589999999997</v>
          </cell>
        </row>
        <row r="20">
          <cell r="C20">
            <v>5801.916</v>
          </cell>
        </row>
        <row r="21">
          <cell r="C21">
            <v>860.302</v>
          </cell>
        </row>
        <row r="22">
          <cell r="C22">
            <v>3000</v>
          </cell>
        </row>
        <row r="23">
          <cell r="C23">
            <v>140</v>
          </cell>
        </row>
        <row r="24">
          <cell r="C24">
            <v>1809.637</v>
          </cell>
        </row>
        <row r="25">
          <cell r="C25">
            <v>278982.91394999996</v>
          </cell>
        </row>
        <row r="26">
          <cell r="C26">
            <v>179669.383659</v>
          </cell>
        </row>
      </sheetData>
      <sheetData sheetId="17">
        <row r="15">
          <cell r="J15">
            <v>9352.291</v>
          </cell>
          <cell r="K15">
            <v>10752.004753000001</v>
          </cell>
          <cell r="M15">
            <v>660</v>
          </cell>
          <cell r="N15">
            <v>6179.78</v>
          </cell>
          <cell r="P15">
            <v>9302.291</v>
          </cell>
          <cell r="S15">
            <v>10452.004753000001</v>
          </cell>
          <cell r="W15">
            <v>660</v>
          </cell>
          <cell r="X15">
            <v>6179.78</v>
          </cell>
          <cell r="Y15">
            <v>350</v>
          </cell>
        </row>
        <row r="16">
          <cell r="J16">
            <v>17296.911186</v>
          </cell>
          <cell r="K16">
            <v>10763.082784</v>
          </cell>
          <cell r="M16">
            <v>660</v>
          </cell>
          <cell r="N16">
            <v>972.23</v>
          </cell>
          <cell r="P16">
            <v>10852.462186</v>
          </cell>
          <cell r="S16">
            <v>11194.374784</v>
          </cell>
          <cell r="W16">
            <v>660</v>
          </cell>
          <cell r="X16">
            <v>110</v>
          </cell>
          <cell r="Y16">
            <v>6875.387</v>
          </cell>
        </row>
        <row r="17">
          <cell r="J17">
            <v>8325.9084</v>
          </cell>
          <cell r="K17">
            <v>11176.544932</v>
          </cell>
          <cell r="M17">
            <v>660</v>
          </cell>
          <cell r="N17">
            <v>269.953</v>
          </cell>
          <cell r="P17">
            <v>6426.779</v>
          </cell>
          <cell r="S17">
            <v>10987.544932</v>
          </cell>
          <cell r="W17">
            <v>660</v>
          </cell>
          <cell r="X17">
            <v>269.953</v>
          </cell>
          <cell r="Y17">
            <v>2088.1294</v>
          </cell>
        </row>
        <row r="18">
          <cell r="J18">
            <v>8532.444614</v>
          </cell>
          <cell r="K18">
            <v>9219.481081</v>
          </cell>
          <cell r="M18">
            <v>0</v>
          </cell>
          <cell r="N18">
            <v>0</v>
          </cell>
          <cell r="P18">
            <v>3467.7096</v>
          </cell>
          <cell r="S18">
            <v>8169.481081</v>
          </cell>
          <cell r="W18">
            <v>0</v>
          </cell>
          <cell r="X18">
            <v>0</v>
          </cell>
          <cell r="Y18">
            <v>6114.735014</v>
          </cell>
        </row>
        <row r="19">
          <cell r="J19">
            <v>5382.6628</v>
          </cell>
          <cell r="K19">
            <v>13675.325999000002</v>
          </cell>
          <cell r="M19">
            <v>0</v>
          </cell>
          <cell r="N19">
            <v>2316.425</v>
          </cell>
          <cell r="P19">
            <v>3631.3008</v>
          </cell>
          <cell r="S19">
            <v>11070.262999</v>
          </cell>
          <cell r="W19">
            <v>0</v>
          </cell>
          <cell r="X19">
            <v>2316.425</v>
          </cell>
          <cell r="Y19">
            <v>2040</v>
          </cell>
        </row>
        <row r="20">
          <cell r="J20">
            <v>17779.475867</v>
          </cell>
          <cell r="K20">
            <v>15795.849707000001</v>
          </cell>
          <cell r="M20">
            <v>0</v>
          </cell>
          <cell r="N20">
            <v>3809.59</v>
          </cell>
          <cell r="P20">
            <v>10832.35061</v>
          </cell>
          <cell r="S20">
            <v>11204.365707</v>
          </cell>
          <cell r="W20">
            <v>0</v>
          </cell>
          <cell r="X20">
            <v>3809.59</v>
          </cell>
          <cell r="Y20">
            <v>7729.019257</v>
          </cell>
        </row>
        <row r="21">
          <cell r="J21">
            <v>10160.749</v>
          </cell>
          <cell r="K21">
            <v>6715.4902839999995</v>
          </cell>
          <cell r="M21">
            <v>660</v>
          </cell>
          <cell r="N21">
            <v>1325.43</v>
          </cell>
          <cell r="P21">
            <v>6924.164</v>
          </cell>
          <cell r="S21">
            <v>6715.4902839999995</v>
          </cell>
          <cell r="W21">
            <v>660</v>
          </cell>
          <cell r="X21">
            <v>1325.43</v>
          </cell>
          <cell r="Y21">
            <v>3236.585</v>
          </cell>
        </row>
        <row r="22">
          <cell r="J22">
            <v>2453.656207</v>
          </cell>
          <cell r="K22">
            <v>8831.660632</v>
          </cell>
          <cell r="M22">
            <v>660</v>
          </cell>
          <cell r="N22">
            <v>2014.995</v>
          </cell>
          <cell r="P22">
            <v>1510.2841500000002</v>
          </cell>
          <cell r="S22">
            <v>7499.899575</v>
          </cell>
          <cell r="W22">
            <v>630.586</v>
          </cell>
          <cell r="X22">
            <v>2014.995</v>
          </cell>
          <cell r="Y22">
            <v>2304.547114</v>
          </cell>
        </row>
        <row r="23">
          <cell r="J23">
            <v>5201.393602</v>
          </cell>
          <cell r="K23">
            <v>7921.250097</v>
          </cell>
          <cell r="M23">
            <v>660</v>
          </cell>
          <cell r="N23">
            <v>2605.66</v>
          </cell>
          <cell r="P23">
            <v>3557.0420000000004</v>
          </cell>
          <cell r="S23">
            <v>7341.910097</v>
          </cell>
          <cell r="W23">
            <v>660</v>
          </cell>
          <cell r="X23">
            <v>2605.66</v>
          </cell>
          <cell r="Y23">
            <v>2223.691602</v>
          </cell>
        </row>
        <row r="24">
          <cell r="J24">
            <v>14611.124406</v>
          </cell>
          <cell r="K24">
            <v>22408.981394</v>
          </cell>
          <cell r="M24">
            <v>0</v>
          </cell>
          <cell r="N24">
            <v>0</v>
          </cell>
          <cell r="P24">
            <v>12129.803406</v>
          </cell>
          <cell r="S24">
            <v>21908.981394</v>
          </cell>
          <cell r="W24">
            <v>0</v>
          </cell>
          <cell r="X24">
            <v>0</v>
          </cell>
          <cell r="Y24">
            <v>2981.3219</v>
          </cell>
        </row>
        <row r="25">
          <cell r="J25">
            <v>4293.888897000001</v>
          </cell>
          <cell r="K25">
            <v>11265.03986</v>
          </cell>
          <cell r="M25">
            <v>660</v>
          </cell>
          <cell r="N25">
            <v>296.95500000000004</v>
          </cell>
          <cell r="P25">
            <v>1722.386938</v>
          </cell>
          <cell r="S25">
            <v>10264.03986</v>
          </cell>
          <cell r="W25">
            <v>660</v>
          </cell>
          <cell r="X25">
            <v>296.95500000000004</v>
          </cell>
          <cell r="Y25">
            <v>3572.501959</v>
          </cell>
        </row>
        <row r="26">
          <cell r="J26">
            <v>7715.666218</v>
          </cell>
          <cell r="K26">
            <v>10145.142168999999</v>
          </cell>
          <cell r="M26">
            <v>660</v>
          </cell>
          <cell r="N26">
            <v>790.085</v>
          </cell>
          <cell r="P26">
            <v>6664.996959</v>
          </cell>
          <cell r="S26">
            <v>9909.326169</v>
          </cell>
          <cell r="W26">
            <v>660</v>
          </cell>
          <cell r="X26">
            <v>790.085</v>
          </cell>
          <cell r="Y26">
            <v>1286.485254</v>
          </cell>
        </row>
        <row r="27">
          <cell r="J27">
            <v>7809.808596999999</v>
          </cell>
          <cell r="K27">
            <v>12346.848268</v>
          </cell>
          <cell r="M27">
            <v>660</v>
          </cell>
          <cell r="N27">
            <v>1558.7350000000001</v>
          </cell>
          <cell r="P27">
            <v>4570.98705</v>
          </cell>
          <cell r="S27">
            <v>10531.663968</v>
          </cell>
          <cell r="W27">
            <v>660</v>
          </cell>
          <cell r="X27">
            <v>1544.634</v>
          </cell>
          <cell r="Y27">
            <v>5068.102077</v>
          </cell>
        </row>
        <row r="28">
          <cell r="J28">
            <v>5343.922192</v>
          </cell>
          <cell r="K28">
            <v>12152.907893000001</v>
          </cell>
          <cell r="M28">
            <v>660</v>
          </cell>
          <cell r="N28">
            <v>822.1569999999999</v>
          </cell>
          <cell r="P28">
            <v>5069.938192</v>
          </cell>
          <cell r="S28">
            <v>11118.576893000001</v>
          </cell>
          <cell r="W28">
            <v>660</v>
          </cell>
          <cell r="X28">
            <v>822.1569999999999</v>
          </cell>
          <cell r="Y28">
            <v>1308.315</v>
          </cell>
        </row>
        <row r="29">
          <cell r="J29">
            <v>5004.69615</v>
          </cell>
          <cell r="K29">
            <v>11081.690295</v>
          </cell>
          <cell r="M29">
            <v>660</v>
          </cell>
          <cell r="N29">
            <v>480</v>
          </cell>
          <cell r="P29">
            <v>4713.69615</v>
          </cell>
          <cell r="S29">
            <v>9874.820295</v>
          </cell>
          <cell r="W29">
            <v>660</v>
          </cell>
          <cell r="X29">
            <v>480</v>
          </cell>
          <cell r="Y29">
            <v>1497.87</v>
          </cell>
        </row>
        <row r="30">
          <cell r="J30">
            <v>12736.252831000002</v>
          </cell>
          <cell r="K30">
            <v>14243.65155</v>
          </cell>
          <cell r="M30">
            <v>0</v>
          </cell>
          <cell r="N30">
            <v>0</v>
          </cell>
          <cell r="P30">
            <v>7002.952793</v>
          </cell>
          <cell r="S30">
            <v>14194.743014</v>
          </cell>
          <cell r="W30">
            <v>0</v>
          </cell>
          <cell r="X30">
            <v>0</v>
          </cell>
          <cell r="Y30">
            <v>5782.208574</v>
          </cell>
        </row>
        <row r="31">
          <cell r="J31">
            <v>8198.779</v>
          </cell>
          <cell r="K31">
            <v>9083.463789</v>
          </cell>
          <cell r="M31">
            <v>660</v>
          </cell>
          <cell r="N31">
            <v>480</v>
          </cell>
          <cell r="P31">
            <v>8198.779</v>
          </cell>
          <cell r="S31">
            <v>8311.764389</v>
          </cell>
          <cell r="W31">
            <v>660</v>
          </cell>
          <cell r="X31">
            <v>480</v>
          </cell>
          <cell r="Y31">
            <v>771.6994</v>
          </cell>
        </row>
        <row r="32">
          <cell r="J32">
            <v>6071.140310999999</v>
          </cell>
          <cell r="K32">
            <v>13603.147686</v>
          </cell>
          <cell r="M32">
            <v>660</v>
          </cell>
          <cell r="N32">
            <v>110</v>
          </cell>
          <cell r="P32">
            <v>4715.474571</v>
          </cell>
          <cell r="S32">
            <v>12136.916686</v>
          </cell>
          <cell r="W32">
            <v>660</v>
          </cell>
          <cell r="X32">
            <v>110</v>
          </cell>
          <cell r="Y32">
            <v>2821.89674</v>
          </cell>
        </row>
        <row r="33">
          <cell r="J33">
            <v>5113.932</v>
          </cell>
          <cell r="K33">
            <v>7941.877425</v>
          </cell>
          <cell r="M33">
            <v>0</v>
          </cell>
          <cell r="N33">
            <v>0</v>
          </cell>
          <cell r="P33">
            <v>2325.182</v>
          </cell>
          <cell r="S33">
            <v>7830.627425</v>
          </cell>
          <cell r="W33">
            <v>0</v>
          </cell>
          <cell r="X33">
            <v>0</v>
          </cell>
          <cell r="Y33">
            <v>2900</v>
          </cell>
        </row>
        <row r="34">
          <cell r="J34">
            <v>9704.680381</v>
          </cell>
          <cell r="K34">
            <v>11745.261779</v>
          </cell>
          <cell r="M34">
            <v>0</v>
          </cell>
          <cell r="N34">
            <v>0</v>
          </cell>
          <cell r="P34">
            <v>7780.295969</v>
          </cell>
          <cell r="S34">
            <v>11238.869779</v>
          </cell>
          <cell r="W34">
            <v>0</v>
          </cell>
          <cell r="X34">
            <v>0</v>
          </cell>
          <cell r="Y34">
            <v>2430.776412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5.Chi MTQG.MLNS"/>
      <sheetName val="66_QLHC"/>
      <sheetName val="54.ND 31. Chi tung don vi"/>
      <sheetName val="56.ND 31. CHi TX don vi"/>
      <sheetName val="57.ND 31 DT don vi chi TX"/>
      <sheetName val="63_NĐ31. Quy TC"/>
      <sheetName val="64_NĐ31"/>
      <sheetName val="Biểu 09_Cac quy 1"/>
      <sheetName val="Biểu 10_Cac quy 2"/>
      <sheetName val="Sheet1"/>
    </sheetNames>
    <sheetDataSet>
      <sheetData sheetId="2">
        <row r="14">
          <cell r="K14">
            <v>3814.452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zoomScalePageLayoutView="0" workbookViewId="0" topLeftCell="A1">
      <pane xSplit="2" ySplit="6" topLeftCell="C16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E21" sqref="E21"/>
    </sheetView>
  </sheetViews>
  <sheetFormatPr defaultColWidth="9.140625" defaultRowHeight="15"/>
  <cols>
    <col min="1" max="1" width="6.00390625" style="229" customWidth="1"/>
    <col min="2" max="2" width="48.7109375" style="8" customWidth="1"/>
    <col min="3" max="3" width="12.8515625" style="40" customWidth="1"/>
    <col min="4" max="4" width="13.00390625" style="32" hidden="1" customWidth="1"/>
    <col min="5" max="5" width="13.8515625" style="159" customWidth="1"/>
    <col min="6" max="6" width="9.28125" style="227" customWidth="1"/>
    <col min="7" max="7" width="9.140625" style="8" customWidth="1"/>
    <col min="8" max="8" width="13.57421875" style="8" customWidth="1"/>
    <col min="9" max="16384" width="9.140625" style="8" customWidth="1"/>
  </cols>
  <sheetData>
    <row r="1" spans="1:6" s="7" customFormat="1" ht="15.75">
      <c r="A1" s="366" t="s">
        <v>220</v>
      </c>
      <c r="B1" s="366"/>
      <c r="C1" s="1"/>
      <c r="D1" s="35"/>
      <c r="E1" s="358" t="s">
        <v>297</v>
      </c>
      <c r="F1" s="230"/>
    </row>
    <row r="2" spans="1:3" ht="20.25" customHeight="1">
      <c r="A2" s="367" t="s">
        <v>227</v>
      </c>
      <c r="B2" s="367"/>
      <c r="C2" s="249"/>
    </row>
    <row r="3" spans="2:3" ht="15.75">
      <c r="B3" s="23"/>
      <c r="C3" s="46"/>
    </row>
    <row r="4" spans="2:6" ht="18" customHeight="1">
      <c r="B4" s="368" t="s">
        <v>300</v>
      </c>
      <c r="C4" s="368"/>
      <c r="D4" s="368"/>
      <c r="E4" s="368"/>
      <c r="F4" s="368"/>
    </row>
    <row r="5" spans="2:6" ht="15.75">
      <c r="B5" s="369" t="s">
        <v>301</v>
      </c>
      <c r="C5" s="369"/>
      <c r="D5" s="369"/>
      <c r="E5" s="369"/>
      <c r="F5" s="369"/>
    </row>
    <row r="6" spans="5:6" ht="29.25" customHeight="1">
      <c r="E6" s="370" t="s">
        <v>257</v>
      </c>
      <c r="F6" s="370"/>
    </row>
    <row r="7" spans="1:6" ht="45" customHeight="1">
      <c r="A7" s="231" t="s">
        <v>7</v>
      </c>
      <c r="B7" s="9" t="s">
        <v>0</v>
      </c>
      <c r="C7" s="24" t="s">
        <v>148</v>
      </c>
      <c r="D7" s="33" t="s">
        <v>2</v>
      </c>
      <c r="E7" s="155" t="s">
        <v>149</v>
      </c>
      <c r="F7" s="168" t="s">
        <v>151</v>
      </c>
    </row>
    <row r="8" spans="1:6" ht="15.75">
      <c r="A8" s="231" t="s">
        <v>16</v>
      </c>
      <c r="B8" s="10" t="s">
        <v>17</v>
      </c>
      <c r="C8" s="10">
        <v>1</v>
      </c>
      <c r="D8" s="10">
        <v>3</v>
      </c>
      <c r="E8" s="359">
        <v>2</v>
      </c>
      <c r="F8" s="167" t="s">
        <v>155</v>
      </c>
    </row>
    <row r="9" spans="1:10" ht="21" customHeight="1">
      <c r="A9" s="232" t="s">
        <v>16</v>
      </c>
      <c r="B9" s="233" t="s">
        <v>302</v>
      </c>
      <c r="C9" s="234">
        <f>C10+C13+C167+C16+C17+C18+C19</f>
        <v>1125596</v>
      </c>
      <c r="D9" s="234">
        <f>D10+D13+D167+D16+D17+D18+D19</f>
        <v>0</v>
      </c>
      <c r="E9" s="360">
        <f>E10+E13+E167+E16+E17+E18+E19</f>
        <v>2600284.1706029996</v>
      </c>
      <c r="F9" s="233">
        <f>E9/C9*100</f>
        <v>231.0139846448459</v>
      </c>
      <c r="J9" s="104">
        <f>E9-E20</f>
        <v>49914.49434299953</v>
      </c>
    </row>
    <row r="10" spans="1:6" ht="21" customHeight="1">
      <c r="A10" s="235">
        <v>1</v>
      </c>
      <c r="B10" s="22" t="s">
        <v>303</v>
      </c>
      <c r="C10" s="41">
        <f>C11+C12</f>
        <v>750385</v>
      </c>
      <c r="D10" s="41">
        <f>D11+D12</f>
        <v>0</v>
      </c>
      <c r="E10" s="361">
        <f>E11+E12</f>
        <v>1467661.068038</v>
      </c>
      <c r="F10" s="22"/>
    </row>
    <row r="11" spans="1:6" ht="21" customHeight="1">
      <c r="A11" s="235" t="s">
        <v>309</v>
      </c>
      <c r="B11" s="22" t="s">
        <v>304</v>
      </c>
      <c r="C11" s="43">
        <v>210243</v>
      </c>
      <c r="D11" s="34"/>
      <c r="E11" s="362">
        <f>'Bieu 97'!I104</f>
        <v>324207.066691</v>
      </c>
      <c r="F11" s="22">
        <f>E11/C11*100</f>
        <v>154.2058792402125</v>
      </c>
    </row>
    <row r="12" spans="1:6" ht="32.25" customHeight="1">
      <c r="A12" s="235" t="s">
        <v>309</v>
      </c>
      <c r="B12" s="22" t="s">
        <v>305</v>
      </c>
      <c r="C12" s="43">
        <f>989538-449396</f>
        <v>540142</v>
      </c>
      <c r="D12" s="34"/>
      <c r="E12" s="362">
        <f>'Bieu 97'!I105</f>
        <v>1143454.001347</v>
      </c>
      <c r="F12" s="22">
        <f>E12/C12*100</f>
        <v>211.69507302653744</v>
      </c>
    </row>
    <row r="13" spans="1:6" ht="19.5" customHeight="1">
      <c r="A13" s="235">
        <v>2</v>
      </c>
      <c r="B13" s="22" t="s">
        <v>306</v>
      </c>
      <c r="C13" s="43">
        <v>305211</v>
      </c>
      <c r="D13" s="34">
        <v>0</v>
      </c>
      <c r="E13" s="362">
        <v>573532.611312</v>
      </c>
      <c r="F13" s="22">
        <v>187.91347995714438</v>
      </c>
    </row>
    <row r="14" spans="1:6" ht="22.5" customHeight="1">
      <c r="A14" s="235"/>
      <c r="B14" s="22" t="s">
        <v>152</v>
      </c>
      <c r="C14" s="43"/>
      <c r="D14" s="34">
        <v>0</v>
      </c>
      <c r="E14" s="362">
        <v>0</v>
      </c>
      <c r="F14" s="22"/>
    </row>
    <row r="15" spans="1:6" ht="25.5" customHeight="1">
      <c r="A15" s="235"/>
      <c r="B15" s="22" t="s">
        <v>91</v>
      </c>
      <c r="C15" s="43">
        <v>305211</v>
      </c>
      <c r="D15" s="34">
        <v>0</v>
      </c>
      <c r="E15" s="362">
        <v>573532.611312</v>
      </c>
      <c r="F15" s="22">
        <v>187.91347995714438</v>
      </c>
    </row>
    <row r="16" spans="1:6" ht="21" customHeight="1">
      <c r="A16" s="235">
        <v>3</v>
      </c>
      <c r="B16" s="22" t="s">
        <v>307</v>
      </c>
      <c r="C16" s="43"/>
      <c r="D16" s="34">
        <f>'Bieu 97'!H100</f>
        <v>0</v>
      </c>
      <c r="E16" s="362">
        <f>'Bieu 97'!I100</f>
        <v>46625.470459</v>
      </c>
      <c r="F16" s="22"/>
    </row>
    <row r="17" spans="1:6" ht="21" customHeight="1">
      <c r="A17" s="235">
        <v>4</v>
      </c>
      <c r="B17" s="22" t="s">
        <v>308</v>
      </c>
      <c r="C17" s="43">
        <v>70000</v>
      </c>
      <c r="D17" s="34">
        <f>'Bieu 97'!H99</f>
        <v>0</v>
      </c>
      <c r="E17" s="362">
        <f>'Bieu 97'!I99</f>
        <v>493968.019352</v>
      </c>
      <c r="F17" s="22">
        <f>E17/C17*100</f>
        <v>705.6685990742857</v>
      </c>
    </row>
    <row r="18" spans="1:6" ht="21" customHeight="1">
      <c r="A18" s="235">
        <v>5</v>
      </c>
      <c r="B18" s="22" t="s">
        <v>319</v>
      </c>
      <c r="C18" s="43"/>
      <c r="D18" s="34"/>
      <c r="E18" s="362">
        <f>'Bieu 97'!I98</f>
        <v>8497.001442</v>
      </c>
      <c r="F18" s="22"/>
    </row>
    <row r="19" spans="1:6" ht="21" customHeight="1">
      <c r="A19" s="235">
        <v>6</v>
      </c>
      <c r="B19" s="22" t="s">
        <v>74</v>
      </c>
      <c r="C19" s="43"/>
      <c r="D19" s="34"/>
      <c r="E19" s="362">
        <f>'Bieu 97'!I82</f>
        <v>10000</v>
      </c>
      <c r="F19" s="22"/>
    </row>
    <row r="20" spans="1:9" s="70" customFormat="1" ht="16.5" customHeight="1">
      <c r="A20" s="236" t="s">
        <v>17</v>
      </c>
      <c r="B20" s="237" t="s">
        <v>310</v>
      </c>
      <c r="C20" s="238">
        <f>C21+C27+C30+C31+C32</f>
        <v>1125596</v>
      </c>
      <c r="D20" s="238">
        <f>D21+D27+D30+D31+D32</f>
        <v>0</v>
      </c>
      <c r="E20" s="363">
        <f>E21+E27+E30+E31+E32</f>
        <v>2550369.67626</v>
      </c>
      <c r="F20" s="22">
        <f aca="true" t="shared" si="0" ref="F20:F25">E20/C20*100</f>
        <v>226.57948999996447</v>
      </c>
      <c r="H20" s="357">
        <f>E20-2550370</f>
        <v>-0.3237399999052286</v>
      </c>
      <c r="I20" s="228"/>
    </row>
    <row r="21" spans="1:6" s="70" customFormat="1" ht="22.5" customHeight="1">
      <c r="A21" s="236" t="s">
        <v>86</v>
      </c>
      <c r="B21" s="239" t="s">
        <v>311</v>
      </c>
      <c r="C21" s="238">
        <f>SUM(C22:C25)</f>
        <v>932233</v>
      </c>
      <c r="D21" s="238">
        <f>SUM(D22:D25)</f>
        <v>0</v>
      </c>
      <c r="E21" s="363">
        <f>SUM(E22:E26)</f>
        <v>774045.7928200001</v>
      </c>
      <c r="F21" s="22">
        <f t="shared" si="0"/>
        <v>83.03136585167013</v>
      </c>
    </row>
    <row r="22" spans="1:6" ht="22.5" customHeight="1">
      <c r="A22" s="235">
        <v>1</v>
      </c>
      <c r="B22" s="240" t="s">
        <v>105</v>
      </c>
      <c r="C22" s="241">
        <v>289692</v>
      </c>
      <c r="D22" s="242"/>
      <c r="E22" s="364">
        <v>234720.43984099998</v>
      </c>
      <c r="F22" s="22">
        <f t="shared" si="0"/>
        <v>81.02413592401585</v>
      </c>
    </row>
    <row r="23" spans="1:6" ht="22.5" customHeight="1">
      <c r="A23" s="235">
        <v>2</v>
      </c>
      <c r="B23" s="240" t="s">
        <v>121</v>
      </c>
      <c r="C23" s="241">
        <v>610043</v>
      </c>
      <c r="D23" s="242"/>
      <c r="E23" s="364">
        <f>538005.072979</f>
        <v>538005.072979</v>
      </c>
      <c r="F23" s="22">
        <f t="shared" si="0"/>
        <v>88.1913361810561</v>
      </c>
    </row>
    <row r="24" spans="1:6" ht="22.5" customHeight="1">
      <c r="A24" s="235">
        <v>3</v>
      </c>
      <c r="B24" s="240" t="s">
        <v>150</v>
      </c>
      <c r="C24" s="42">
        <v>9042</v>
      </c>
      <c r="D24" s="242"/>
      <c r="E24" s="364"/>
      <c r="F24" s="22">
        <f t="shared" si="0"/>
        <v>0</v>
      </c>
    </row>
    <row r="25" spans="1:6" ht="22.5" customHeight="1">
      <c r="A25" s="235">
        <v>4</v>
      </c>
      <c r="B25" s="240" t="s">
        <v>312</v>
      </c>
      <c r="C25" s="42">
        <v>23456</v>
      </c>
      <c r="D25" s="242"/>
      <c r="E25" s="364"/>
      <c r="F25" s="22">
        <f t="shared" si="0"/>
        <v>0</v>
      </c>
    </row>
    <row r="26" spans="1:6" ht="22.5" customHeight="1">
      <c r="A26" s="235">
        <v>5</v>
      </c>
      <c r="B26" s="240" t="s">
        <v>320</v>
      </c>
      <c r="C26" s="42"/>
      <c r="D26" s="242"/>
      <c r="E26" s="364">
        <v>1320.28</v>
      </c>
      <c r="F26" s="22"/>
    </row>
    <row r="27" spans="1:6" s="70" customFormat="1" ht="22.5" customHeight="1">
      <c r="A27" s="236" t="s">
        <v>63</v>
      </c>
      <c r="B27" s="239" t="s">
        <v>313</v>
      </c>
      <c r="C27" s="238">
        <f>C28+C29</f>
        <v>0</v>
      </c>
      <c r="D27" s="243"/>
      <c r="E27" s="363"/>
      <c r="F27" s="22"/>
    </row>
    <row r="28" spans="1:6" ht="22.5" customHeight="1">
      <c r="A28" s="235">
        <v>1</v>
      </c>
      <c r="B28" s="240" t="s">
        <v>314</v>
      </c>
      <c r="C28" s="241"/>
      <c r="D28" s="242"/>
      <c r="E28" s="364"/>
      <c r="F28" s="22"/>
    </row>
    <row r="29" spans="1:6" ht="22.5" customHeight="1">
      <c r="A29" s="235">
        <v>2</v>
      </c>
      <c r="B29" s="240" t="s">
        <v>315</v>
      </c>
      <c r="C29" s="241"/>
      <c r="D29" s="242"/>
      <c r="E29" s="364"/>
      <c r="F29" s="22"/>
    </row>
    <row r="30" spans="1:6" s="70" customFormat="1" ht="22.5" customHeight="1">
      <c r="A30" s="236" t="s">
        <v>72</v>
      </c>
      <c r="B30" s="239" t="s">
        <v>316</v>
      </c>
      <c r="C30" s="238"/>
      <c r="D30" s="243"/>
      <c r="E30" s="363">
        <v>798862.60754</v>
      </c>
      <c r="F30" s="22"/>
    </row>
    <row r="31" spans="1:6" s="70" customFormat="1" ht="22.5" customHeight="1">
      <c r="A31" s="236" t="s">
        <v>73</v>
      </c>
      <c r="B31" s="239" t="s">
        <v>318</v>
      </c>
      <c r="C31" s="238">
        <v>193363</v>
      </c>
      <c r="D31" s="243"/>
      <c r="E31" s="363">
        <v>377437.1089</v>
      </c>
      <c r="F31" s="22">
        <f>E31/C31*100</f>
        <v>195.19613829946783</v>
      </c>
    </row>
    <row r="32" spans="1:6" s="70" customFormat="1" ht="22.5" customHeight="1">
      <c r="A32" s="244" t="s">
        <v>77</v>
      </c>
      <c r="B32" s="245" t="s">
        <v>317</v>
      </c>
      <c r="C32" s="246"/>
      <c r="D32" s="247"/>
      <c r="E32" s="365">
        <v>600024.167</v>
      </c>
      <c r="F32" s="248"/>
    </row>
  </sheetData>
  <sheetProtection/>
  <mergeCells count="5">
    <mergeCell ref="A1:B1"/>
    <mergeCell ref="A2:B2"/>
    <mergeCell ref="B4:F4"/>
    <mergeCell ref="B5:F5"/>
    <mergeCell ref="E6:F6"/>
  </mergeCells>
  <printOptions/>
  <pageMargins left="0.69" right="0.17" top="0.91" bottom="0.37" header="0.5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6.28125" style="8" customWidth="1"/>
    <col min="2" max="2" width="39.140625" style="8" customWidth="1"/>
    <col min="3" max="3" width="14.421875" style="135" customWidth="1"/>
    <col min="4" max="4" width="14.140625" style="135" customWidth="1"/>
    <col min="5" max="5" width="1.28515625" style="135" hidden="1" customWidth="1"/>
    <col min="6" max="6" width="13.57421875" style="136" customWidth="1"/>
    <col min="7" max="7" width="12.421875" style="136" customWidth="1"/>
    <col min="8" max="8" width="13.28125" style="136" customWidth="1"/>
    <col min="9" max="9" width="15.28125" style="136" customWidth="1"/>
    <col min="10" max="10" width="11.421875" style="159" customWidth="1"/>
    <col min="11" max="12" width="9.28125" style="159" customWidth="1"/>
    <col min="13" max="13" width="20.57421875" style="8" customWidth="1"/>
    <col min="14" max="14" width="12.57421875" style="8" customWidth="1"/>
    <col min="15" max="16384" width="9.140625" style="8" customWidth="1"/>
  </cols>
  <sheetData>
    <row r="1" spans="1:12" s="7" customFormat="1" ht="15.75">
      <c r="A1" s="374" t="s">
        <v>220</v>
      </c>
      <c r="B1" s="374"/>
      <c r="C1" s="133"/>
      <c r="D1" s="133"/>
      <c r="E1" s="133"/>
      <c r="F1" s="134"/>
      <c r="G1" s="134"/>
      <c r="H1" s="134"/>
      <c r="I1" s="373" t="s">
        <v>298</v>
      </c>
      <c r="J1" s="373"/>
      <c r="K1" s="373"/>
      <c r="L1" s="373"/>
    </row>
    <row r="2" spans="1:14" ht="21" customHeight="1">
      <c r="A2" s="375" t="s">
        <v>227</v>
      </c>
      <c r="B2" s="375"/>
      <c r="J2" s="379"/>
      <c r="K2" s="380"/>
      <c r="L2" s="380"/>
      <c r="M2" s="14"/>
      <c r="N2" s="14"/>
    </row>
    <row r="3" spans="1:14" ht="15.75">
      <c r="A3" s="64"/>
      <c r="I3" s="136">
        <f>447773.178236-J10</f>
        <v>0</v>
      </c>
      <c r="J3" s="380"/>
      <c r="K3" s="380"/>
      <c r="L3" s="380"/>
      <c r="M3" s="94"/>
      <c r="N3" s="94"/>
    </row>
    <row r="4" spans="1:12" ht="20.25">
      <c r="A4" s="368" t="s">
        <v>283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20.25" customHeight="1">
      <c r="A5" s="369" t="s">
        <v>301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0:12" ht="15.75">
      <c r="J6" s="381" t="s">
        <v>257</v>
      </c>
      <c r="K6" s="381"/>
      <c r="L6" s="381"/>
    </row>
    <row r="7" spans="1:12" ht="32.25" customHeight="1">
      <c r="A7" s="372" t="s">
        <v>7</v>
      </c>
      <c r="B7" s="372" t="s">
        <v>8</v>
      </c>
      <c r="C7" s="376" t="s">
        <v>9</v>
      </c>
      <c r="D7" s="376"/>
      <c r="E7" s="137"/>
      <c r="F7" s="377" t="s">
        <v>10</v>
      </c>
      <c r="G7" s="376" t="s">
        <v>11</v>
      </c>
      <c r="H7" s="376"/>
      <c r="I7" s="376"/>
      <c r="J7" s="376"/>
      <c r="K7" s="371" t="s">
        <v>12</v>
      </c>
      <c r="L7" s="371"/>
    </row>
    <row r="8" spans="1:12" ht="54.75" customHeight="1">
      <c r="A8" s="372"/>
      <c r="B8" s="372"/>
      <c r="C8" s="137" t="s">
        <v>13</v>
      </c>
      <c r="D8" s="137" t="s">
        <v>14</v>
      </c>
      <c r="E8" s="137"/>
      <c r="F8" s="378"/>
      <c r="G8" s="138" t="s">
        <v>15</v>
      </c>
      <c r="H8" s="138" t="s">
        <v>2</v>
      </c>
      <c r="I8" s="138" t="s">
        <v>3</v>
      </c>
      <c r="J8" s="155" t="s">
        <v>207</v>
      </c>
      <c r="K8" s="155" t="s">
        <v>13</v>
      </c>
      <c r="L8" s="155" t="s">
        <v>14</v>
      </c>
    </row>
    <row r="9" spans="1:13" s="101" customFormat="1" ht="20.25" customHeight="1">
      <c r="A9" s="100" t="s">
        <v>16</v>
      </c>
      <c r="B9" s="100" t="s">
        <v>17</v>
      </c>
      <c r="C9" s="151">
        <v>1</v>
      </c>
      <c r="D9" s="151">
        <v>2</v>
      </c>
      <c r="E9" s="152"/>
      <c r="F9" s="153" t="s">
        <v>18</v>
      </c>
      <c r="G9" s="154">
        <v>4</v>
      </c>
      <c r="H9" s="154">
        <v>5</v>
      </c>
      <c r="I9" s="154">
        <v>6</v>
      </c>
      <c r="J9" s="156">
        <v>7</v>
      </c>
      <c r="K9" s="150" t="s">
        <v>19</v>
      </c>
      <c r="L9" s="150" t="s">
        <v>20</v>
      </c>
      <c r="M9" s="139">
        <f>F12-D12</f>
        <v>689185.5170450001</v>
      </c>
    </row>
    <row r="10" spans="1:13" ht="20.25" customHeight="1">
      <c r="A10" s="10"/>
      <c r="B10" s="9" t="s">
        <v>21</v>
      </c>
      <c r="C10" s="155">
        <f>C11+C92+C99+C100</f>
        <v>2690961</v>
      </c>
      <c r="D10" s="155">
        <f>D11+D92+D99+D100</f>
        <v>2990524</v>
      </c>
      <c r="E10" s="155"/>
      <c r="F10" s="155">
        <f>F11+F92+F99+F100</f>
        <v>5507737.344525999</v>
      </c>
      <c r="G10" s="155">
        <f>G11+G92+G99+G100</f>
        <v>628477.262523</v>
      </c>
      <c r="H10" s="155">
        <f>H11+H92+H99+H100</f>
        <v>1831202.7331640003</v>
      </c>
      <c r="I10" s="155">
        <f>I11+I92+I99+I100</f>
        <v>2600284.1706029996</v>
      </c>
      <c r="J10" s="155">
        <f>J11+J92+J99+J100</f>
        <v>447773.178236</v>
      </c>
      <c r="K10" s="155">
        <f aca="true" t="shared" si="0" ref="K10:K15">F10/C10*100</f>
        <v>204.67548004322617</v>
      </c>
      <c r="L10" s="155">
        <f aca="true" t="shared" si="1" ref="L10:L15">F10/D10*100</f>
        <v>184.17298588896125</v>
      </c>
      <c r="M10" s="102">
        <f>1422050.779999-I10</f>
        <v>-1178233.3906039996</v>
      </c>
    </row>
    <row r="11" spans="1:14" s="105" customFormat="1" ht="20.25" customHeight="1">
      <c r="A11" s="254" t="s">
        <v>16</v>
      </c>
      <c r="B11" s="255" t="s">
        <v>22</v>
      </c>
      <c r="C11" s="206">
        <f>C12+C70++C81+C82+C86+C85</f>
        <v>2385750</v>
      </c>
      <c r="D11" s="206">
        <f>D12+D70++D81+D82+D86+D85</f>
        <v>2421950</v>
      </c>
      <c r="E11" s="206"/>
      <c r="F11" s="206">
        <f>F12+F70++F81+F82+F86</f>
        <v>3362469.65891</v>
      </c>
      <c r="G11" s="206">
        <f>G12+G70++G81+G82+G86</f>
        <v>628477.262523</v>
      </c>
      <c r="H11" s="206">
        <f>H12+H70++H81+H82+H86</f>
        <v>1231178.5661640002</v>
      </c>
      <c r="I11" s="206">
        <f>I12+I70++I81+I82+I86</f>
        <v>1477661.0680379996</v>
      </c>
      <c r="J11" s="206">
        <f>J12+J70++J81+J82+J86</f>
        <v>25152.762185</v>
      </c>
      <c r="K11" s="206">
        <f t="shared" si="0"/>
        <v>140.93973211401027</v>
      </c>
      <c r="L11" s="206">
        <f t="shared" si="1"/>
        <v>138.8331575346312</v>
      </c>
      <c r="M11" s="148">
        <f>1418745.18108</f>
        <v>1418745.18108</v>
      </c>
      <c r="N11" s="149"/>
    </row>
    <row r="12" spans="1:14" ht="20.25" customHeight="1">
      <c r="A12" s="256" t="s">
        <v>86</v>
      </c>
      <c r="B12" s="20" t="s">
        <v>153</v>
      </c>
      <c r="C12" s="257">
        <f>C13+C19+C26+C32+C33+C34+C37+C43+C46+C50+C51+C54+C57+C60+C61+C63+C66+C68+C69</f>
        <v>2225750</v>
      </c>
      <c r="D12" s="257">
        <f>D13+D19+D26+D32+D33+D34+D37+D43+D46+D50+D51+D54+D57+D60+D61+D63+D66+D68+D69</f>
        <v>2261950</v>
      </c>
      <c r="E12" s="257">
        <f aca="true" t="shared" si="2" ref="E12:J12">E13+E19+E26+E32+E33+E34+E37+E43+E46+E50+E51+E54+E57+E60+E61+E63+E66+E68+E69</f>
        <v>941067.4</v>
      </c>
      <c r="F12" s="257">
        <f t="shared" si="2"/>
        <v>2951135.517045</v>
      </c>
      <c r="G12" s="257">
        <f t="shared" si="2"/>
        <v>234221.874518</v>
      </c>
      <c r="H12" s="257">
        <f t="shared" si="2"/>
        <v>1231178.5661640002</v>
      </c>
      <c r="I12" s="258">
        <f t="shared" si="2"/>
        <v>1467661.0680379996</v>
      </c>
      <c r="J12" s="257">
        <f t="shared" si="2"/>
        <v>18074.008325</v>
      </c>
      <c r="K12" s="257">
        <f t="shared" si="0"/>
        <v>132.5906106725823</v>
      </c>
      <c r="L12" s="257">
        <f t="shared" si="1"/>
        <v>130.46864506487765</v>
      </c>
      <c r="M12" s="103">
        <f>M11-I10</f>
        <v>-1181538.9895229996</v>
      </c>
      <c r="N12" s="104"/>
    </row>
    <row r="13" spans="1:14" ht="21.75" customHeight="1">
      <c r="A13" s="256">
        <v>1</v>
      </c>
      <c r="B13" s="20" t="s">
        <v>208</v>
      </c>
      <c r="C13" s="257">
        <f>SUM(C14:C18)</f>
        <v>29270</v>
      </c>
      <c r="D13" s="257">
        <f>SUM(D14:D18)</f>
        <v>29270</v>
      </c>
      <c r="E13" s="257">
        <f>D13*52%</f>
        <v>15220.4</v>
      </c>
      <c r="F13" s="257">
        <f aca="true" t="shared" si="3" ref="F13:F76">SUM(G13:J13)</f>
        <v>38584.85170300001</v>
      </c>
      <c r="G13" s="257">
        <f>SUM(G14:G18)</f>
        <v>3857.799954</v>
      </c>
      <c r="H13" s="257">
        <f>SUM(H14:H18)</f>
        <v>14659.64</v>
      </c>
      <c r="I13" s="257">
        <f>SUM(I14:I18)</f>
        <v>20067.411749000003</v>
      </c>
      <c r="J13" s="257">
        <f>SUM(J14:J18)</f>
        <v>0</v>
      </c>
      <c r="K13" s="257">
        <f t="shared" si="0"/>
        <v>131.82388692517938</v>
      </c>
      <c r="L13" s="257">
        <f t="shared" si="1"/>
        <v>131.82388692517938</v>
      </c>
      <c r="M13" s="8">
        <v>9251.437964</v>
      </c>
      <c r="N13" s="104"/>
    </row>
    <row r="14" spans="1:13" ht="25.5" customHeight="1">
      <c r="A14" s="259"/>
      <c r="B14" s="260" t="s">
        <v>23</v>
      </c>
      <c r="C14" s="261">
        <f>26415+238</f>
        <v>26653</v>
      </c>
      <c r="D14" s="261">
        <f>26415+238</f>
        <v>26653</v>
      </c>
      <c r="E14" s="261"/>
      <c r="F14" s="257">
        <f t="shared" si="3"/>
        <v>28172.75181</v>
      </c>
      <c r="G14" s="261">
        <f>2378.092243+439.182893</f>
        <v>2817.275136</v>
      </c>
      <c r="H14" s="261">
        <f>9036.750573+1668.895066</f>
        <v>10705.645638999998</v>
      </c>
      <c r="I14" s="261">
        <f>12366.079798+2283.751237</f>
        <v>14649.831035000001</v>
      </c>
      <c r="J14" s="261"/>
      <c r="K14" s="261">
        <f>F14/C14*100</f>
        <v>105.70199155817357</v>
      </c>
      <c r="L14" s="261">
        <f t="shared" si="1"/>
        <v>105.70199155817357</v>
      </c>
      <c r="M14" s="103">
        <f>M13-M12</f>
        <v>1190790.4274869997</v>
      </c>
    </row>
    <row r="15" spans="1:13" ht="25.5" customHeight="1">
      <c r="A15" s="259"/>
      <c r="B15" s="260" t="s">
        <v>24</v>
      </c>
      <c r="C15" s="261">
        <f>800+1812</f>
        <v>2612</v>
      </c>
      <c r="D15" s="261">
        <f>800+1812</f>
        <v>2612</v>
      </c>
      <c r="E15" s="261"/>
      <c r="F15" s="257">
        <f t="shared" si="3"/>
        <v>10405.248372999999</v>
      </c>
      <c r="G15" s="261">
        <f>118.169882+922.354936</f>
        <v>1040.5248179999999</v>
      </c>
      <c r="H15" s="261">
        <f>449.045559+3504.948802</f>
        <v>3953.994361</v>
      </c>
      <c r="I15" s="261">
        <f>614.483412+4796.245782</f>
        <v>5410.729194</v>
      </c>
      <c r="J15" s="261"/>
      <c r="K15" s="261">
        <f t="shared" si="0"/>
        <v>398.36326083460943</v>
      </c>
      <c r="L15" s="261">
        <f t="shared" si="1"/>
        <v>398.36326083460943</v>
      </c>
      <c r="M15" s="103">
        <f>I10-1406465.202224</f>
        <v>1193818.9683789997</v>
      </c>
    </row>
    <row r="16" spans="1:12" ht="25.5" customHeight="1">
      <c r="A16" s="259"/>
      <c r="B16" s="260" t="s">
        <v>25</v>
      </c>
      <c r="C16" s="261"/>
      <c r="D16" s="261"/>
      <c r="E16" s="261"/>
      <c r="F16" s="257">
        <f t="shared" si="3"/>
        <v>0</v>
      </c>
      <c r="G16" s="261"/>
      <c r="H16" s="261"/>
      <c r="I16" s="261"/>
      <c r="J16" s="261"/>
      <c r="K16" s="261"/>
      <c r="L16" s="261"/>
    </row>
    <row r="17" spans="1:12" ht="25.5" customHeight="1">
      <c r="A17" s="259"/>
      <c r="B17" s="260" t="s">
        <v>26</v>
      </c>
      <c r="C17" s="261">
        <f>5</f>
        <v>5</v>
      </c>
      <c r="D17" s="261">
        <f>5</f>
        <v>5</v>
      </c>
      <c r="E17" s="261"/>
      <c r="F17" s="257">
        <f t="shared" si="3"/>
        <v>6.85152</v>
      </c>
      <c r="G17" s="261"/>
      <c r="H17" s="261"/>
      <c r="I17" s="261">
        <f>5.38242+1.4691</f>
        <v>6.85152</v>
      </c>
      <c r="J17" s="261"/>
      <c r="K17" s="261"/>
      <c r="L17" s="261"/>
    </row>
    <row r="18" spans="1:12" ht="25.5" customHeight="1">
      <c r="A18" s="259"/>
      <c r="B18" s="260" t="s">
        <v>210</v>
      </c>
      <c r="C18" s="261"/>
      <c r="D18" s="261"/>
      <c r="E18" s="261"/>
      <c r="F18" s="257">
        <f t="shared" si="3"/>
        <v>0</v>
      </c>
      <c r="G18" s="261"/>
      <c r="H18" s="261"/>
      <c r="I18" s="261"/>
      <c r="J18" s="261"/>
      <c r="K18" s="261"/>
      <c r="L18" s="261"/>
    </row>
    <row r="19" spans="1:12" ht="31.5">
      <c r="A19" s="256">
        <v>2</v>
      </c>
      <c r="B19" s="20" t="s">
        <v>27</v>
      </c>
      <c r="C19" s="257">
        <f>SUM(C20:C25)</f>
        <v>1519250</v>
      </c>
      <c r="D19" s="257">
        <f>SUM(D20:D25)</f>
        <v>1519250</v>
      </c>
      <c r="E19" s="257">
        <f>D19*52%</f>
        <v>790010</v>
      </c>
      <c r="F19" s="257">
        <f t="shared" si="3"/>
        <v>1697567.23992</v>
      </c>
      <c r="G19" s="257">
        <f>SUM(G20:G25)</f>
        <v>169603.635675</v>
      </c>
      <c r="H19" s="257">
        <f>SUM(H20:H25)</f>
        <v>644475.98493</v>
      </c>
      <c r="I19" s="257">
        <f>SUM(I20:I25)</f>
        <v>883487.619315</v>
      </c>
      <c r="J19" s="257">
        <f>SUM(J20:J25)</f>
        <v>0</v>
      </c>
      <c r="K19" s="257">
        <f>F19/C19*100</f>
        <v>111.73718873918052</v>
      </c>
      <c r="L19" s="257">
        <f>F19/D19*100</f>
        <v>111.73718873918052</v>
      </c>
    </row>
    <row r="20" spans="1:12" ht="20.25" customHeight="1">
      <c r="A20" s="259"/>
      <c r="B20" s="260" t="s">
        <v>23</v>
      </c>
      <c r="C20" s="261">
        <v>181667</v>
      </c>
      <c r="D20" s="261">
        <v>181667</v>
      </c>
      <c r="E20" s="261"/>
      <c r="F20" s="257">
        <f t="shared" si="3"/>
        <v>215028.243899</v>
      </c>
      <c r="G20" s="261">
        <v>21502.824278</v>
      </c>
      <c r="H20" s="261">
        <v>81710.732552</v>
      </c>
      <c r="I20" s="261">
        <v>111814.687069</v>
      </c>
      <c r="J20" s="261"/>
      <c r="K20" s="261">
        <f>F20/C20*100</f>
        <v>118.36395377201143</v>
      </c>
      <c r="L20" s="261">
        <f>F20/D20*100</f>
        <v>118.36395377201143</v>
      </c>
    </row>
    <row r="21" spans="1:12" ht="20.25" customHeight="1">
      <c r="A21" s="259"/>
      <c r="B21" s="260" t="s">
        <v>24</v>
      </c>
      <c r="C21" s="261">
        <v>107043</v>
      </c>
      <c r="D21" s="261">
        <v>107043</v>
      </c>
      <c r="E21" s="261"/>
      <c r="F21" s="257">
        <f t="shared" si="3"/>
        <v>185936.761705</v>
      </c>
      <c r="G21" s="261">
        <v>18611.507363</v>
      </c>
      <c r="H21" s="261">
        <v>70705.896996</v>
      </c>
      <c r="I21" s="261">
        <v>96619.357346</v>
      </c>
      <c r="J21" s="261"/>
      <c r="K21" s="261">
        <f>F21/C21*100</f>
        <v>173.70286866492904</v>
      </c>
      <c r="L21" s="261">
        <f>F21/D21*100</f>
        <v>173.70286866492904</v>
      </c>
    </row>
    <row r="22" spans="1:12" ht="20.25" customHeight="1">
      <c r="A22" s="259"/>
      <c r="B22" s="260" t="s">
        <v>28</v>
      </c>
      <c r="C22" s="261"/>
      <c r="D22" s="261"/>
      <c r="E22" s="261"/>
      <c r="F22" s="257">
        <f t="shared" si="3"/>
        <v>0</v>
      </c>
      <c r="G22" s="261"/>
      <c r="H22" s="261"/>
      <c r="I22" s="261"/>
      <c r="J22" s="261"/>
      <c r="K22" s="261"/>
      <c r="L22" s="261"/>
    </row>
    <row r="23" spans="1:12" ht="20.25" customHeight="1">
      <c r="A23" s="259"/>
      <c r="B23" s="260" t="s">
        <v>25</v>
      </c>
      <c r="C23" s="261">
        <v>1228957</v>
      </c>
      <c r="D23" s="261">
        <v>1228957</v>
      </c>
      <c r="E23" s="261"/>
      <c r="F23" s="257">
        <f t="shared" si="3"/>
        <v>1294893.0405310001</v>
      </c>
      <c r="G23" s="261">
        <v>129489.304034</v>
      </c>
      <c r="H23" s="261">
        <v>492059.355382</v>
      </c>
      <c r="I23" s="261">
        <v>673344.381115</v>
      </c>
      <c r="J23" s="261"/>
      <c r="K23" s="261">
        <f>F23/C23*100</f>
        <v>105.36520321955936</v>
      </c>
      <c r="L23" s="261">
        <f>F23/D23*100</f>
        <v>105.36520321955936</v>
      </c>
    </row>
    <row r="24" spans="1:12" ht="20.25" customHeight="1">
      <c r="A24" s="259"/>
      <c r="B24" s="260" t="s">
        <v>26</v>
      </c>
      <c r="C24" s="261">
        <v>1583</v>
      </c>
      <c r="D24" s="261">
        <v>1583</v>
      </c>
      <c r="E24" s="261"/>
      <c r="F24" s="257">
        <f t="shared" si="3"/>
        <v>1709.193785</v>
      </c>
      <c r="G24" s="261"/>
      <c r="H24" s="261"/>
      <c r="I24" s="261">
        <v>1709.193785</v>
      </c>
      <c r="J24" s="261"/>
      <c r="K24" s="261">
        <f>F24/C24*100</f>
        <v>107.97181206569803</v>
      </c>
      <c r="L24" s="261"/>
    </row>
    <row r="25" spans="1:12" ht="20.25" customHeight="1">
      <c r="A25" s="259"/>
      <c r="B25" s="260" t="s">
        <v>210</v>
      </c>
      <c r="C25" s="261"/>
      <c r="D25" s="261"/>
      <c r="E25" s="261"/>
      <c r="F25" s="257">
        <f t="shared" si="3"/>
        <v>0</v>
      </c>
      <c r="G25" s="261"/>
      <c r="H25" s="261"/>
      <c r="I25" s="261"/>
      <c r="J25" s="261"/>
      <c r="K25" s="261"/>
      <c r="L25" s="261"/>
    </row>
    <row r="26" spans="1:12" ht="31.5">
      <c r="A26" s="256">
        <v>3</v>
      </c>
      <c r="B26" s="20" t="s">
        <v>29</v>
      </c>
      <c r="C26" s="257">
        <f>SUM(C27:C31)</f>
        <v>267080</v>
      </c>
      <c r="D26" s="257">
        <f>SUM(D27:D31)</f>
        <v>268280</v>
      </c>
      <c r="E26" s="257">
        <f aca="true" t="shared" si="4" ref="E26:J26">SUM(E27:E31)</f>
        <v>135837</v>
      </c>
      <c r="F26" s="257">
        <f t="shared" si="3"/>
        <v>348842.794952</v>
      </c>
      <c r="G26" s="257">
        <f t="shared" si="4"/>
        <v>34138.081711</v>
      </c>
      <c r="H26" s="257">
        <f t="shared" si="4"/>
        <v>129047.97341099998</v>
      </c>
      <c r="I26" s="257">
        <f t="shared" si="4"/>
        <v>179795.88997900003</v>
      </c>
      <c r="J26" s="257">
        <f t="shared" si="4"/>
        <v>5860.849851</v>
      </c>
      <c r="K26" s="257">
        <f>F26/C26*100</f>
        <v>130.61359703160102</v>
      </c>
      <c r="L26" s="257">
        <f>F26/D26*100</f>
        <v>130.0293704159833</v>
      </c>
    </row>
    <row r="27" spans="1:12" ht="24.75" customHeight="1">
      <c r="A27" s="259"/>
      <c r="B27" s="260" t="s">
        <v>23</v>
      </c>
      <c r="C27" s="261">
        <f>139036+60800+8400</f>
        <v>208236</v>
      </c>
      <c r="D27" s="261">
        <f>139036+60800+9600</f>
        <v>209436</v>
      </c>
      <c r="E27" s="257">
        <f>D27*52%</f>
        <v>108906.72</v>
      </c>
      <c r="F27" s="257">
        <f t="shared" si="3"/>
        <v>198854.369242</v>
      </c>
      <c r="G27" s="261">
        <v>19885.435479</v>
      </c>
      <c r="H27" s="261">
        <v>75564.658428</v>
      </c>
      <c r="I27" s="261">
        <v>97766.493223</v>
      </c>
      <c r="J27" s="261">
        <v>5637.782112</v>
      </c>
      <c r="K27" s="261">
        <f>F27/C27*100</f>
        <v>95.49471236577727</v>
      </c>
      <c r="L27" s="261">
        <f>F27/D27*100</f>
        <v>94.94755879695944</v>
      </c>
    </row>
    <row r="28" spans="1:12" ht="24.75" customHeight="1">
      <c r="A28" s="259"/>
      <c r="B28" s="260" t="s">
        <v>24</v>
      </c>
      <c r="C28" s="261">
        <f>35796+15500</f>
        <v>51296</v>
      </c>
      <c r="D28" s="261">
        <f>35796+15500</f>
        <v>51296</v>
      </c>
      <c r="E28" s="257">
        <f>D28*52%</f>
        <v>26673.920000000002</v>
      </c>
      <c r="F28" s="257">
        <f t="shared" si="3"/>
        <v>125060.943351</v>
      </c>
      <c r="G28" s="261">
        <v>12698.114916</v>
      </c>
      <c r="H28" s="261">
        <v>47783.947406</v>
      </c>
      <c r="I28" s="261">
        <v>64578.881029</v>
      </c>
      <c r="J28" s="261"/>
      <c r="K28" s="261">
        <f>F28/C28*100</f>
        <v>243.80252524758265</v>
      </c>
      <c r="L28" s="261">
        <f>F28/D28*100</f>
        <v>243.80252524758265</v>
      </c>
    </row>
    <row r="29" spans="1:12" ht="24.75" customHeight="1">
      <c r="A29" s="259"/>
      <c r="B29" s="260" t="s">
        <v>25</v>
      </c>
      <c r="C29" s="261">
        <f>93+400</f>
        <v>493</v>
      </c>
      <c r="D29" s="261">
        <f>93+400</f>
        <v>493</v>
      </c>
      <c r="E29" s="257">
        <f>D29*52%</f>
        <v>256.36</v>
      </c>
      <c r="F29" s="257">
        <f t="shared" si="3"/>
        <v>15053.033609</v>
      </c>
      <c r="G29" s="261">
        <v>1554.531316</v>
      </c>
      <c r="H29" s="261">
        <v>5699.367577</v>
      </c>
      <c r="I29" s="261">
        <v>7576.066977</v>
      </c>
      <c r="J29" s="261">
        <v>223.067739</v>
      </c>
      <c r="K29" s="261">
        <f>F29/C29*100</f>
        <v>3053.3536732251523</v>
      </c>
      <c r="L29" s="261">
        <f>F29/D29*100</f>
        <v>3053.3536732251523</v>
      </c>
    </row>
    <row r="30" spans="1:12" ht="24.75" customHeight="1">
      <c r="A30" s="259"/>
      <c r="B30" s="260" t="s">
        <v>26</v>
      </c>
      <c r="C30" s="261">
        <f>2155+4400+500</f>
        <v>7055</v>
      </c>
      <c r="D30" s="261">
        <f>2155+4400+500</f>
        <v>7055</v>
      </c>
      <c r="E30" s="257"/>
      <c r="F30" s="257">
        <f t="shared" si="3"/>
        <v>9874.44875</v>
      </c>
      <c r="G30" s="261"/>
      <c r="H30" s="261"/>
      <c r="I30" s="261">
        <v>9874.44875</v>
      </c>
      <c r="J30" s="261"/>
      <c r="K30" s="261">
        <f>F30/C30*100</f>
        <v>139.9638377037562</v>
      </c>
      <c r="L30" s="261">
        <f>F30/D30*100</f>
        <v>139.9638377037562</v>
      </c>
    </row>
    <row r="31" spans="1:12" ht="24.75" customHeight="1">
      <c r="A31" s="259"/>
      <c r="B31" s="260" t="s">
        <v>210</v>
      </c>
      <c r="C31" s="261"/>
      <c r="D31" s="261"/>
      <c r="E31" s="257">
        <f>D31*52%</f>
        <v>0</v>
      </c>
      <c r="F31" s="257">
        <f t="shared" si="3"/>
        <v>0</v>
      </c>
      <c r="G31" s="261"/>
      <c r="H31" s="261"/>
      <c r="I31" s="261"/>
      <c r="J31" s="261"/>
      <c r="K31" s="261"/>
      <c r="L31" s="261"/>
    </row>
    <row r="32" spans="1:12" ht="24.75" customHeight="1">
      <c r="A32" s="256">
        <v>4</v>
      </c>
      <c r="B32" s="20" t="s">
        <v>30</v>
      </c>
      <c r="C32" s="257">
        <v>1500</v>
      </c>
      <c r="D32" s="257">
        <v>1500</v>
      </c>
      <c r="E32" s="257"/>
      <c r="F32" s="257">
        <f t="shared" si="3"/>
        <v>7219.96816</v>
      </c>
      <c r="G32" s="257"/>
      <c r="H32" s="257"/>
      <c r="I32" s="257"/>
      <c r="J32" s="257">
        <v>7219.96816</v>
      </c>
      <c r="K32" s="257">
        <f>F32/C32*100</f>
        <v>481.3312106666667</v>
      </c>
      <c r="L32" s="257">
        <f>F32/D32*100</f>
        <v>481.3312106666667</v>
      </c>
    </row>
    <row r="33" spans="1:12" ht="24.75" customHeight="1">
      <c r="A33" s="256">
        <v>5</v>
      </c>
      <c r="B33" s="20" t="s">
        <v>31</v>
      </c>
      <c r="C33" s="257">
        <f>45000+59800</f>
        <v>104800</v>
      </c>
      <c r="D33" s="257">
        <f>45000+59800</f>
        <v>104800</v>
      </c>
      <c r="E33" s="257"/>
      <c r="F33" s="257">
        <f t="shared" si="3"/>
        <v>137872.267368</v>
      </c>
      <c r="G33" s="257">
        <v>13787.22641</v>
      </c>
      <c r="H33" s="257">
        <v>52391.466599</v>
      </c>
      <c r="I33" s="257">
        <v>71693.574359</v>
      </c>
      <c r="J33" s="257"/>
      <c r="K33" s="257">
        <f>F33/C33*100</f>
        <v>131.55750703053434</v>
      </c>
      <c r="L33" s="257">
        <f>F33/D33*100</f>
        <v>131.55750703053434</v>
      </c>
    </row>
    <row r="34" spans="1:12" ht="21.75" customHeight="1">
      <c r="A34" s="256">
        <v>6</v>
      </c>
      <c r="B34" s="20" t="s">
        <v>32</v>
      </c>
      <c r="C34" s="257">
        <f>SUM(C35:C36)</f>
        <v>0</v>
      </c>
      <c r="D34" s="257">
        <f>SUM(D35:D36)</f>
        <v>0</v>
      </c>
      <c r="E34" s="257"/>
      <c r="F34" s="257">
        <f t="shared" si="3"/>
        <v>0</v>
      </c>
      <c r="G34" s="257">
        <f>SUM(G35:G36)</f>
        <v>0</v>
      </c>
      <c r="H34" s="257">
        <f>SUM(H35:H36)</f>
        <v>0</v>
      </c>
      <c r="I34" s="257">
        <f>SUM(I35:I36)</f>
        <v>0</v>
      </c>
      <c r="J34" s="257">
        <f>SUM(J35:J36)</f>
        <v>0</v>
      </c>
      <c r="K34" s="257"/>
      <c r="L34" s="257"/>
    </row>
    <row r="35" spans="1:12" ht="21.75" customHeight="1">
      <c r="A35" s="259"/>
      <c r="B35" s="262" t="s">
        <v>33</v>
      </c>
      <c r="C35" s="261"/>
      <c r="D35" s="261"/>
      <c r="E35" s="261"/>
      <c r="F35" s="257">
        <f t="shared" si="3"/>
        <v>0</v>
      </c>
      <c r="G35" s="261"/>
      <c r="H35" s="261"/>
      <c r="I35" s="261"/>
      <c r="J35" s="261"/>
      <c r="K35" s="261"/>
      <c r="L35" s="261"/>
    </row>
    <row r="36" spans="1:12" ht="21.75" customHeight="1">
      <c r="A36" s="259"/>
      <c r="B36" s="262" t="s">
        <v>34</v>
      </c>
      <c r="C36" s="261"/>
      <c r="D36" s="261"/>
      <c r="E36" s="261"/>
      <c r="F36" s="257">
        <f t="shared" si="3"/>
        <v>0</v>
      </c>
      <c r="G36" s="261"/>
      <c r="H36" s="261"/>
      <c r="I36" s="261"/>
      <c r="J36" s="261"/>
      <c r="K36" s="261"/>
      <c r="L36" s="261"/>
    </row>
    <row r="37" spans="1:12" ht="21.75" customHeight="1">
      <c r="A37" s="256">
        <v>7</v>
      </c>
      <c r="B37" s="20" t="s">
        <v>35</v>
      </c>
      <c r="C37" s="257">
        <f>C38+C39+C40+C42</f>
        <v>12950</v>
      </c>
      <c r="D37" s="257">
        <f>D38+D39+D40+D42</f>
        <v>12950</v>
      </c>
      <c r="E37" s="257"/>
      <c r="F37" s="257">
        <f t="shared" si="3"/>
        <v>13726.867136</v>
      </c>
      <c r="G37" s="257">
        <f>SUM(G38:G42)</f>
        <v>5954.061133</v>
      </c>
      <c r="H37" s="257">
        <f>SUM(H38:H42)</f>
        <v>0</v>
      </c>
      <c r="I37" s="257">
        <f>SUM(I38:I42)</f>
        <v>6172.9939030000005</v>
      </c>
      <c r="J37" s="257">
        <f>SUM(J38:J42)</f>
        <v>1599.8121</v>
      </c>
      <c r="K37" s="257">
        <f>F37/C37*100</f>
        <v>105.99897402316603</v>
      </c>
      <c r="L37" s="257">
        <f>F37/D37*100</f>
        <v>105.99897402316603</v>
      </c>
    </row>
    <row r="38" spans="1:12" ht="30" customHeight="1">
      <c r="A38" s="259"/>
      <c r="B38" s="260" t="s">
        <v>36</v>
      </c>
      <c r="C38" s="261">
        <f>100+4400</f>
        <v>4500</v>
      </c>
      <c r="D38" s="261">
        <f>100+4400</f>
        <v>4500</v>
      </c>
      <c r="E38" s="261"/>
      <c r="F38" s="261">
        <f t="shared" si="3"/>
        <v>6034.061133</v>
      </c>
      <c r="G38" s="261">
        <v>5954.061133</v>
      </c>
      <c r="H38" s="261"/>
      <c r="I38" s="261">
        <v>80</v>
      </c>
      <c r="J38" s="261"/>
      <c r="K38" s="261">
        <f>F38/C38*100</f>
        <v>134.0902474</v>
      </c>
      <c r="L38" s="261">
        <f>F38/D38*100</f>
        <v>134.0902474</v>
      </c>
    </row>
    <row r="39" spans="1:12" ht="31.5">
      <c r="A39" s="259"/>
      <c r="B39" s="260" t="s">
        <v>278</v>
      </c>
      <c r="C39" s="261">
        <f>550+6200</f>
        <v>6750</v>
      </c>
      <c r="D39" s="261">
        <f>550+6200</f>
        <v>6750</v>
      </c>
      <c r="E39" s="261"/>
      <c r="F39" s="261">
        <f t="shared" si="3"/>
        <v>5153.057076</v>
      </c>
      <c r="G39" s="261"/>
      <c r="H39" s="261"/>
      <c r="I39" s="261">
        <f>1279.356016+4768.637887-I42</f>
        <v>4446.548976</v>
      </c>
      <c r="J39" s="261">
        <f>0.5+706.0081</f>
        <v>706.5081</v>
      </c>
      <c r="K39" s="261">
        <f>F39/C39*100</f>
        <v>76.34158631111112</v>
      </c>
      <c r="L39" s="261">
        <f>F39/D39*100</f>
        <v>76.34158631111112</v>
      </c>
    </row>
    <row r="40" spans="1:12" ht="31.5">
      <c r="A40" s="259"/>
      <c r="B40" s="260" t="s">
        <v>202</v>
      </c>
      <c r="C40" s="261">
        <v>1400</v>
      </c>
      <c r="D40" s="261">
        <v>1400</v>
      </c>
      <c r="E40" s="261"/>
      <c r="F40" s="261">
        <f t="shared" si="3"/>
        <v>938.304</v>
      </c>
      <c r="G40" s="261"/>
      <c r="H40" s="261"/>
      <c r="I40" s="261">
        <v>45</v>
      </c>
      <c r="J40" s="261">
        <v>893.304</v>
      </c>
      <c r="K40" s="261">
        <f>F40/C40*100</f>
        <v>67.02171428571428</v>
      </c>
      <c r="L40" s="261">
        <f>F40/D40*100</f>
        <v>67.02171428571428</v>
      </c>
    </row>
    <row r="41" spans="1:12" ht="21.75" customHeight="1">
      <c r="A41" s="259"/>
      <c r="B41" s="262" t="s">
        <v>216</v>
      </c>
      <c r="C41" s="261"/>
      <c r="D41" s="261"/>
      <c r="E41" s="261"/>
      <c r="F41" s="261">
        <f t="shared" si="3"/>
        <v>0</v>
      </c>
      <c r="G41" s="261"/>
      <c r="H41" s="261"/>
      <c r="I41" s="261"/>
      <c r="J41" s="261"/>
      <c r="K41" s="261"/>
      <c r="L41" s="261"/>
    </row>
    <row r="42" spans="1:13" ht="31.5">
      <c r="A42" s="259"/>
      <c r="B42" s="260" t="s">
        <v>281</v>
      </c>
      <c r="C42" s="261">
        <v>300</v>
      </c>
      <c r="D42" s="261">
        <v>300</v>
      </c>
      <c r="E42" s="261"/>
      <c r="F42" s="261">
        <f t="shared" si="3"/>
        <v>1601.444927</v>
      </c>
      <c r="G42" s="261"/>
      <c r="H42" s="261"/>
      <c r="I42" s="261">
        <v>1601.444927</v>
      </c>
      <c r="J42" s="261"/>
      <c r="K42" s="261">
        <f>F42/C42*100</f>
        <v>533.8149756666667</v>
      </c>
      <c r="L42" s="261">
        <f>F42/D42*100</f>
        <v>533.8149756666667</v>
      </c>
      <c r="M42" s="140">
        <f>56469.24031-3305.598919</f>
        <v>53163.641391</v>
      </c>
    </row>
    <row r="43" spans="1:13" s="70" customFormat="1" ht="21" customHeight="1">
      <c r="A43" s="256">
        <v>8</v>
      </c>
      <c r="B43" s="263" t="s">
        <v>211</v>
      </c>
      <c r="C43" s="257">
        <f>59000+8700</f>
        <v>67700</v>
      </c>
      <c r="D43" s="257">
        <f>59000+8700</f>
        <v>67700</v>
      </c>
      <c r="E43" s="257"/>
      <c r="F43" s="257">
        <f t="shared" si="3"/>
        <v>52788.263803</v>
      </c>
      <c r="G43" s="257"/>
      <c r="H43" s="257">
        <v>14346.5918</v>
      </c>
      <c r="I43" s="257">
        <v>38441.672003</v>
      </c>
      <c r="J43" s="257"/>
      <c r="K43" s="257">
        <f>F43/C43*100</f>
        <v>77.97380177695716</v>
      </c>
      <c r="L43" s="257">
        <f>F43/D43*100</f>
        <v>77.97380177695716</v>
      </c>
      <c r="M43" s="70">
        <f>53163641391+2613800400</f>
        <v>55777441791</v>
      </c>
    </row>
    <row r="44" spans="1:13" ht="31.5">
      <c r="A44" s="256"/>
      <c r="B44" s="264" t="s">
        <v>200</v>
      </c>
      <c r="C44" s="261"/>
      <c r="D44" s="261"/>
      <c r="E44" s="261"/>
      <c r="F44" s="257">
        <f t="shared" si="3"/>
        <v>0</v>
      </c>
      <c r="G44" s="261"/>
      <c r="H44" s="261"/>
      <c r="I44" s="261"/>
      <c r="J44" s="261"/>
      <c r="K44" s="261"/>
      <c r="L44" s="261"/>
      <c r="M44" s="8">
        <f>M43/1000000</f>
        <v>55777.441791</v>
      </c>
    </row>
    <row r="45" spans="1:13" ht="31.5">
      <c r="A45" s="256"/>
      <c r="B45" s="264" t="s">
        <v>201</v>
      </c>
      <c r="C45" s="261"/>
      <c r="D45" s="261"/>
      <c r="E45" s="261"/>
      <c r="F45" s="257">
        <f t="shared" si="3"/>
        <v>0</v>
      </c>
      <c r="G45" s="261"/>
      <c r="H45" s="261"/>
      <c r="I45" s="261"/>
      <c r="J45" s="261"/>
      <c r="K45" s="261"/>
      <c r="L45" s="261"/>
      <c r="M45" s="103">
        <f>M44-I43</f>
        <v>17335.769787999998</v>
      </c>
    </row>
    <row r="46" spans="1:12" s="70" customFormat="1" ht="22.5" customHeight="1">
      <c r="A46" s="256">
        <v>9</v>
      </c>
      <c r="B46" s="263" t="s">
        <v>212</v>
      </c>
      <c r="C46" s="257">
        <f>65700+85000</f>
        <v>150700</v>
      </c>
      <c r="D46" s="257">
        <f>65700+120000</f>
        <v>185700</v>
      </c>
      <c r="E46" s="257"/>
      <c r="F46" s="257">
        <f t="shared" si="3"/>
        <v>535274.6810430001</v>
      </c>
      <c r="G46" s="257"/>
      <c r="H46" s="257">
        <v>361184.944129</v>
      </c>
      <c r="I46" s="257">
        <v>174293.936914</v>
      </c>
      <c r="J46" s="257">
        <v>-204.2</v>
      </c>
      <c r="K46" s="257">
        <f>F46/C46*100</f>
        <v>355.1922236516258</v>
      </c>
      <c r="L46" s="257">
        <f>F46/D46*100</f>
        <v>288.2470011001616</v>
      </c>
    </row>
    <row r="47" spans="1:12" ht="31.5">
      <c r="A47" s="259"/>
      <c r="B47" s="262" t="s">
        <v>37</v>
      </c>
      <c r="C47" s="261"/>
      <c r="D47" s="261"/>
      <c r="E47" s="261"/>
      <c r="F47" s="257">
        <f t="shared" si="3"/>
        <v>0</v>
      </c>
      <c r="G47" s="261"/>
      <c r="H47" s="261"/>
      <c r="I47" s="261"/>
      <c r="J47" s="261"/>
      <c r="K47" s="261"/>
      <c r="L47" s="261"/>
    </row>
    <row r="48" spans="1:12" ht="31.5">
      <c r="A48" s="259"/>
      <c r="B48" s="262" t="s">
        <v>38</v>
      </c>
      <c r="C48" s="261"/>
      <c r="D48" s="261"/>
      <c r="E48" s="261"/>
      <c r="F48" s="257">
        <f t="shared" si="3"/>
        <v>0</v>
      </c>
      <c r="G48" s="261"/>
      <c r="H48" s="261"/>
      <c r="I48" s="261"/>
      <c r="J48" s="261"/>
      <c r="K48" s="261"/>
      <c r="L48" s="261"/>
    </row>
    <row r="49" spans="1:12" ht="31.5">
      <c r="A49" s="256"/>
      <c r="B49" s="265" t="s">
        <v>213</v>
      </c>
      <c r="C49" s="261"/>
      <c r="D49" s="261"/>
      <c r="E49" s="261"/>
      <c r="F49" s="257">
        <f t="shared" si="3"/>
        <v>0</v>
      </c>
      <c r="G49" s="261"/>
      <c r="H49" s="261"/>
      <c r="I49" s="261"/>
      <c r="J49" s="261"/>
      <c r="K49" s="261"/>
      <c r="L49" s="261"/>
    </row>
    <row r="50" spans="1:12" ht="21.75" customHeight="1">
      <c r="A50" s="256">
        <v>10</v>
      </c>
      <c r="B50" s="263" t="s">
        <v>221</v>
      </c>
      <c r="C50" s="257">
        <v>59000</v>
      </c>
      <c r="D50" s="257">
        <v>59000</v>
      </c>
      <c r="E50" s="257"/>
      <c r="F50" s="257">
        <f t="shared" si="3"/>
        <v>84020.043346</v>
      </c>
      <c r="G50" s="257"/>
      <c r="H50" s="257"/>
      <c r="I50" s="257">
        <v>84020.043346</v>
      </c>
      <c r="J50" s="257"/>
      <c r="K50" s="257">
        <f>F50/C50*100</f>
        <v>142.40685312881357</v>
      </c>
      <c r="L50" s="257">
        <f>F50/D50*100</f>
        <v>142.40685312881357</v>
      </c>
    </row>
    <row r="51" spans="1:12" ht="21.75" customHeight="1">
      <c r="A51" s="256">
        <v>11</v>
      </c>
      <c r="B51" s="20" t="s">
        <v>39</v>
      </c>
      <c r="C51" s="261">
        <f>SUM(C52:C53)</f>
        <v>0</v>
      </c>
      <c r="D51" s="261">
        <f>SUM(D52:D53)</f>
        <v>0</v>
      </c>
      <c r="E51" s="261"/>
      <c r="F51" s="257">
        <f t="shared" si="3"/>
        <v>0</v>
      </c>
      <c r="G51" s="261">
        <f>SUM(G52:G53)</f>
        <v>0</v>
      </c>
      <c r="H51" s="261">
        <f>SUM(H52:H53)</f>
        <v>0</v>
      </c>
      <c r="I51" s="261">
        <f>SUM(I52:I53)</f>
        <v>0</v>
      </c>
      <c r="J51" s="261">
        <f>SUM(J52:J53)</f>
        <v>0</v>
      </c>
      <c r="K51" s="261"/>
      <c r="L51" s="261"/>
    </row>
    <row r="52" spans="1:12" ht="31.5">
      <c r="A52" s="260"/>
      <c r="B52" s="262" t="s">
        <v>40</v>
      </c>
      <c r="C52" s="261"/>
      <c r="D52" s="261"/>
      <c r="E52" s="261"/>
      <c r="F52" s="257">
        <f t="shared" si="3"/>
        <v>0</v>
      </c>
      <c r="G52" s="261"/>
      <c r="H52" s="261"/>
      <c r="I52" s="261"/>
      <c r="J52" s="261"/>
      <c r="K52" s="261"/>
      <c r="L52" s="261"/>
    </row>
    <row r="53" spans="1:12" ht="31.5">
      <c r="A53" s="260"/>
      <c r="B53" s="262" t="s">
        <v>41</v>
      </c>
      <c r="C53" s="261"/>
      <c r="D53" s="261"/>
      <c r="E53" s="261"/>
      <c r="F53" s="257">
        <f t="shared" si="3"/>
        <v>0</v>
      </c>
      <c r="G53" s="261"/>
      <c r="H53" s="261"/>
      <c r="I53" s="261"/>
      <c r="J53" s="261"/>
      <c r="K53" s="261"/>
      <c r="L53" s="261"/>
    </row>
    <row r="54" spans="1:12" ht="22.5" customHeight="1">
      <c r="A54" s="256">
        <v>12</v>
      </c>
      <c r="B54" s="20" t="s">
        <v>42</v>
      </c>
      <c r="C54" s="261"/>
      <c r="D54" s="261"/>
      <c r="E54" s="261"/>
      <c r="F54" s="257">
        <f t="shared" si="3"/>
        <v>0</v>
      </c>
      <c r="G54" s="261"/>
      <c r="H54" s="261"/>
      <c r="I54" s="261"/>
      <c r="J54" s="261"/>
      <c r="K54" s="261"/>
      <c r="L54" s="261"/>
    </row>
    <row r="55" spans="1:12" ht="22.5" customHeight="1">
      <c r="A55" s="259"/>
      <c r="B55" s="262" t="s">
        <v>43</v>
      </c>
      <c r="C55" s="261"/>
      <c r="D55" s="261"/>
      <c r="E55" s="261"/>
      <c r="F55" s="257">
        <f t="shared" si="3"/>
        <v>0</v>
      </c>
      <c r="G55" s="261"/>
      <c r="H55" s="261"/>
      <c r="I55" s="261"/>
      <c r="J55" s="261"/>
      <c r="K55" s="261"/>
      <c r="L55" s="261"/>
    </row>
    <row r="56" spans="1:12" ht="22.5" customHeight="1">
      <c r="A56" s="260"/>
      <c r="B56" s="262" t="s">
        <v>44</v>
      </c>
      <c r="C56" s="261"/>
      <c r="D56" s="261"/>
      <c r="E56" s="261"/>
      <c r="F56" s="257">
        <f t="shared" si="3"/>
        <v>0</v>
      </c>
      <c r="G56" s="261"/>
      <c r="H56" s="261"/>
      <c r="I56" s="261"/>
      <c r="J56" s="261"/>
      <c r="K56" s="261"/>
      <c r="L56" s="261"/>
    </row>
    <row r="57" spans="1:12" ht="35.25" customHeight="1">
      <c r="A57" s="256">
        <v>13</v>
      </c>
      <c r="B57" s="20" t="s">
        <v>45</v>
      </c>
      <c r="C57" s="261"/>
      <c r="D57" s="261"/>
      <c r="E57" s="261"/>
      <c r="F57" s="257">
        <f t="shared" si="3"/>
        <v>0</v>
      </c>
      <c r="G57" s="261"/>
      <c r="H57" s="261"/>
      <c r="I57" s="261"/>
      <c r="J57" s="261"/>
      <c r="K57" s="261"/>
      <c r="L57" s="261"/>
    </row>
    <row r="58" spans="1:12" ht="22.5" customHeight="1">
      <c r="A58" s="260"/>
      <c r="B58" s="262" t="s">
        <v>46</v>
      </c>
      <c r="C58" s="261"/>
      <c r="D58" s="261"/>
      <c r="E58" s="261"/>
      <c r="F58" s="257">
        <f t="shared" si="3"/>
        <v>0</v>
      </c>
      <c r="G58" s="261"/>
      <c r="H58" s="261"/>
      <c r="I58" s="261"/>
      <c r="J58" s="261"/>
      <c r="K58" s="261"/>
      <c r="L58" s="261"/>
    </row>
    <row r="59" spans="1:12" ht="22.5" customHeight="1">
      <c r="A59" s="260"/>
      <c r="B59" s="262" t="s">
        <v>47</v>
      </c>
      <c r="C59" s="261"/>
      <c r="D59" s="261"/>
      <c r="E59" s="261"/>
      <c r="F59" s="257">
        <f t="shared" si="3"/>
        <v>0</v>
      </c>
      <c r="G59" s="261"/>
      <c r="H59" s="261"/>
      <c r="I59" s="261"/>
      <c r="J59" s="261"/>
      <c r="K59" s="261"/>
      <c r="L59" s="261"/>
    </row>
    <row r="60" spans="1:12" ht="41.25" customHeight="1">
      <c r="A60" s="256">
        <v>14</v>
      </c>
      <c r="B60" s="20" t="s">
        <v>214</v>
      </c>
      <c r="C60" s="261"/>
      <c r="D60" s="261"/>
      <c r="E60" s="261"/>
      <c r="F60" s="257">
        <f t="shared" si="3"/>
        <v>804.386</v>
      </c>
      <c r="G60" s="261"/>
      <c r="H60" s="261"/>
      <c r="I60" s="257">
        <v>804.386</v>
      </c>
      <c r="J60" s="257"/>
      <c r="K60" s="257"/>
      <c r="L60" s="257"/>
    </row>
    <row r="61" spans="1:12" ht="24" customHeight="1">
      <c r="A61" s="256">
        <v>15</v>
      </c>
      <c r="B61" s="20" t="s">
        <v>48</v>
      </c>
      <c r="C61" s="257">
        <f>1200+7000</f>
        <v>8200</v>
      </c>
      <c r="D61" s="257">
        <f>1200+7000</f>
        <v>8200</v>
      </c>
      <c r="E61" s="257"/>
      <c r="F61" s="257">
        <f t="shared" si="3"/>
        <v>27973.365892</v>
      </c>
      <c r="G61" s="257">
        <v>6567.959635</v>
      </c>
      <c r="H61" s="257">
        <v>13667.322787</v>
      </c>
      <c r="I61" s="257">
        <v>7738.08347</v>
      </c>
      <c r="J61" s="257"/>
      <c r="K61" s="257">
        <f>F61/C61*100</f>
        <v>341.1386084390244</v>
      </c>
      <c r="L61" s="257">
        <f>F61/D61*100</f>
        <v>341.1386084390244</v>
      </c>
    </row>
    <row r="62" spans="1:12" ht="31.5">
      <c r="A62" s="260"/>
      <c r="B62" s="262" t="s">
        <v>49</v>
      </c>
      <c r="C62" s="261"/>
      <c r="D62" s="261"/>
      <c r="E62" s="261"/>
      <c r="F62" s="257">
        <f t="shared" si="3"/>
        <v>0</v>
      </c>
      <c r="G62" s="261"/>
      <c r="H62" s="261"/>
      <c r="I62" s="257"/>
      <c r="J62" s="257"/>
      <c r="K62" s="257" t="e">
        <f>F62/C62*100</f>
        <v>#DIV/0!</v>
      </c>
      <c r="L62" s="257" t="e">
        <f>F62/D62*100</f>
        <v>#DIV/0!</v>
      </c>
    </row>
    <row r="63" spans="1:12" s="105" customFormat="1" ht="31.5">
      <c r="A63" s="266">
        <v>16</v>
      </c>
      <c r="B63" s="267" t="s">
        <v>50</v>
      </c>
      <c r="C63" s="208">
        <f>1000+1300</f>
        <v>2300</v>
      </c>
      <c r="D63" s="208">
        <f>1000+1300</f>
        <v>2300</v>
      </c>
      <c r="E63" s="208"/>
      <c r="F63" s="208">
        <f t="shared" si="3"/>
        <v>2863.209508</v>
      </c>
      <c r="G63" s="208">
        <f>G64+G65</f>
        <v>313.11</v>
      </c>
      <c r="H63" s="208">
        <f>H64+H65</f>
        <v>1404.6425080000001</v>
      </c>
      <c r="I63" s="208">
        <f>I64+I65</f>
        <v>1145.457</v>
      </c>
      <c r="J63" s="208">
        <f>J64+J65</f>
        <v>0</v>
      </c>
      <c r="K63" s="208">
        <f>F63/C63*100</f>
        <v>124.48736991304348</v>
      </c>
      <c r="L63" s="208">
        <f>F63/D63*100</f>
        <v>124.48736991304348</v>
      </c>
    </row>
    <row r="64" spans="1:12" ht="31.5" customHeight="1">
      <c r="A64" s="260"/>
      <c r="B64" s="262" t="s">
        <v>51</v>
      </c>
      <c r="C64" s="261"/>
      <c r="D64" s="261"/>
      <c r="E64" s="261"/>
      <c r="F64" s="261">
        <f t="shared" si="3"/>
        <v>447.3</v>
      </c>
      <c r="G64" s="261">
        <v>313.11</v>
      </c>
      <c r="H64" s="261">
        <v>134.19</v>
      </c>
      <c r="I64" s="257"/>
      <c r="J64" s="257"/>
      <c r="K64" s="257"/>
      <c r="L64" s="257"/>
    </row>
    <row r="65" spans="1:12" ht="31.5" customHeight="1">
      <c r="A65" s="259"/>
      <c r="B65" s="262" t="s">
        <v>52</v>
      </c>
      <c r="C65" s="261"/>
      <c r="D65" s="261"/>
      <c r="E65" s="261"/>
      <c r="F65" s="261">
        <f t="shared" si="3"/>
        <v>2415.909508</v>
      </c>
      <c r="G65" s="261"/>
      <c r="H65" s="207">
        <f>1270.452508</f>
        <v>1270.452508</v>
      </c>
      <c r="I65" s="207">
        <v>1145.457</v>
      </c>
      <c r="J65" s="257"/>
      <c r="K65" s="257"/>
      <c r="L65" s="257"/>
    </row>
    <row r="66" spans="1:12" ht="21" customHeight="1">
      <c r="A66" s="256">
        <v>17</v>
      </c>
      <c r="B66" s="20" t="s">
        <v>222</v>
      </c>
      <c r="C66" s="257">
        <v>3000</v>
      </c>
      <c r="D66" s="257">
        <v>3000</v>
      </c>
      <c r="E66" s="257"/>
      <c r="F66" s="257">
        <f t="shared" si="3"/>
        <v>3597.578214</v>
      </c>
      <c r="G66" s="261"/>
      <c r="H66" s="261"/>
      <c r="I66" s="257"/>
      <c r="J66" s="257">
        <f>2323.628335+1273.949879</f>
        <v>3597.578214</v>
      </c>
      <c r="K66" s="257">
        <f>F66/C66*100</f>
        <v>119.9192738</v>
      </c>
      <c r="L66" s="257">
        <f>F66/D66*100</f>
        <v>119.9192738</v>
      </c>
    </row>
    <row r="67" spans="1:12" ht="31.5">
      <c r="A67" s="256"/>
      <c r="B67" s="20" t="s">
        <v>279</v>
      </c>
      <c r="C67" s="261"/>
      <c r="D67" s="261">
        <v>2100</v>
      </c>
      <c r="E67" s="261"/>
      <c r="F67" s="257">
        <f t="shared" si="3"/>
        <v>2323.628335</v>
      </c>
      <c r="G67" s="261"/>
      <c r="H67" s="261"/>
      <c r="I67" s="261"/>
      <c r="J67" s="257">
        <v>2323.628335</v>
      </c>
      <c r="K67" s="261" t="e">
        <f>F67/C67*100</f>
        <v>#DIV/0!</v>
      </c>
      <c r="L67" s="261">
        <f>F67/D67*100</f>
        <v>110.64896833333333</v>
      </c>
    </row>
    <row r="68" spans="1:12" ht="15.75">
      <c r="A68" s="256">
        <v>18</v>
      </c>
      <c r="B68" s="20" t="s">
        <v>53</v>
      </c>
      <c r="C68" s="261"/>
      <c r="D68" s="261"/>
      <c r="E68" s="261"/>
      <c r="F68" s="257">
        <f t="shared" si="3"/>
        <v>0</v>
      </c>
      <c r="G68" s="261"/>
      <c r="H68" s="261"/>
      <c r="I68" s="261"/>
      <c r="J68" s="261"/>
      <c r="K68" s="261"/>
      <c r="L68" s="261"/>
    </row>
    <row r="69" spans="1:12" ht="31.5">
      <c r="A69" s="256">
        <v>19</v>
      </c>
      <c r="B69" s="20" t="s">
        <v>54</v>
      </c>
      <c r="C69" s="261"/>
      <c r="D69" s="261"/>
      <c r="E69" s="261"/>
      <c r="F69" s="257">
        <f t="shared" si="3"/>
        <v>0</v>
      </c>
      <c r="G69" s="261"/>
      <c r="H69" s="261"/>
      <c r="I69" s="261"/>
      <c r="J69" s="261"/>
      <c r="K69" s="261"/>
      <c r="L69" s="261"/>
    </row>
    <row r="70" spans="1:12" ht="22.5" customHeight="1">
      <c r="A70" s="256" t="s">
        <v>55</v>
      </c>
      <c r="B70" s="20" t="s">
        <v>209</v>
      </c>
      <c r="C70" s="257">
        <f>SUM(C71:C79)</f>
        <v>160000</v>
      </c>
      <c r="D70" s="257">
        <f>SUM(D71:D79)</f>
        <v>160000</v>
      </c>
      <c r="E70" s="261"/>
      <c r="F70" s="257">
        <f t="shared" si="3"/>
        <v>394255.388005</v>
      </c>
      <c r="G70" s="257">
        <f>SUM(G71:G79)</f>
        <v>394255.388005</v>
      </c>
      <c r="H70" s="261">
        <f>SUM(H71:H79)</f>
        <v>0</v>
      </c>
      <c r="I70" s="261">
        <f>SUM(I71:I79)</f>
        <v>0</v>
      </c>
      <c r="J70" s="261">
        <f>SUM(J71:J79)</f>
        <v>0</v>
      </c>
      <c r="K70" s="257">
        <f>F70/C70*100</f>
        <v>246.409617503125</v>
      </c>
      <c r="L70" s="257">
        <f>F70/D70*100</f>
        <v>246.409617503125</v>
      </c>
    </row>
    <row r="71" spans="1:12" ht="22.5" customHeight="1">
      <c r="A71" s="259">
        <v>1</v>
      </c>
      <c r="B71" s="260" t="s">
        <v>64</v>
      </c>
      <c r="C71" s="261"/>
      <c r="D71" s="261"/>
      <c r="E71" s="261"/>
      <c r="F71" s="261">
        <f t="shared" si="3"/>
        <v>129.494281</v>
      </c>
      <c r="G71" s="261">
        <v>129.494281</v>
      </c>
      <c r="H71" s="261"/>
      <c r="I71" s="261"/>
      <c r="J71" s="261"/>
      <c r="K71" s="261"/>
      <c r="L71" s="261"/>
    </row>
    <row r="72" spans="1:12" ht="22.5" customHeight="1">
      <c r="A72" s="259">
        <v>2</v>
      </c>
      <c r="B72" s="260" t="s">
        <v>65</v>
      </c>
      <c r="C72" s="261">
        <v>20000</v>
      </c>
      <c r="D72" s="261">
        <v>20000</v>
      </c>
      <c r="E72" s="261"/>
      <c r="F72" s="261">
        <f t="shared" si="3"/>
        <v>63321.012586</v>
      </c>
      <c r="G72" s="261">
        <v>63321.012586</v>
      </c>
      <c r="H72" s="261"/>
      <c r="I72" s="261"/>
      <c r="J72" s="261"/>
      <c r="K72" s="261"/>
      <c r="L72" s="261"/>
    </row>
    <row r="73" spans="1:12" ht="22.5" customHeight="1">
      <c r="A73" s="259">
        <v>3</v>
      </c>
      <c r="B73" s="260" t="s">
        <v>66</v>
      </c>
      <c r="C73" s="261"/>
      <c r="D73" s="261"/>
      <c r="E73" s="261"/>
      <c r="F73" s="261">
        <f t="shared" si="3"/>
        <v>295.294279</v>
      </c>
      <c r="G73" s="261">
        <v>295.294279</v>
      </c>
      <c r="H73" s="261"/>
      <c r="I73" s="261"/>
      <c r="J73" s="261"/>
      <c r="K73" s="261"/>
      <c r="L73" s="261"/>
    </row>
    <row r="74" spans="1:12" ht="22.5" customHeight="1">
      <c r="A74" s="259">
        <v>4</v>
      </c>
      <c r="B74" s="260" t="s">
        <v>67</v>
      </c>
      <c r="C74" s="261">
        <v>140000</v>
      </c>
      <c r="D74" s="261">
        <v>140000</v>
      </c>
      <c r="E74" s="261"/>
      <c r="F74" s="261">
        <f t="shared" si="3"/>
        <v>329876.58511</v>
      </c>
      <c r="G74" s="261">
        <v>329876.58511</v>
      </c>
      <c r="H74" s="261"/>
      <c r="I74" s="261"/>
      <c r="J74" s="261"/>
      <c r="K74" s="261"/>
      <c r="L74" s="261"/>
    </row>
    <row r="75" spans="1:12" ht="36" customHeight="1">
      <c r="A75" s="259">
        <v>5</v>
      </c>
      <c r="B75" s="260" t="s">
        <v>68</v>
      </c>
      <c r="C75" s="261"/>
      <c r="D75" s="261"/>
      <c r="E75" s="261"/>
      <c r="F75" s="261">
        <f t="shared" si="3"/>
        <v>291.792275</v>
      </c>
      <c r="G75" s="261">
        <v>291.792275</v>
      </c>
      <c r="H75" s="261"/>
      <c r="I75" s="261"/>
      <c r="J75" s="261"/>
      <c r="K75" s="261"/>
      <c r="L75" s="261"/>
    </row>
    <row r="76" spans="1:12" ht="22.5" customHeight="1">
      <c r="A76" s="259">
        <v>6</v>
      </c>
      <c r="B76" s="260" t="s">
        <v>69</v>
      </c>
      <c r="C76" s="261"/>
      <c r="D76" s="261"/>
      <c r="E76" s="261"/>
      <c r="F76" s="257">
        <f t="shared" si="3"/>
        <v>0</v>
      </c>
      <c r="G76" s="261"/>
      <c r="H76" s="261"/>
      <c r="I76" s="261"/>
      <c r="J76" s="261"/>
      <c r="K76" s="261"/>
      <c r="L76" s="261"/>
    </row>
    <row r="77" spans="1:12" ht="31.5">
      <c r="A77" s="259">
        <v>7</v>
      </c>
      <c r="B77" s="260" t="s">
        <v>70</v>
      </c>
      <c r="C77" s="261"/>
      <c r="D77" s="261"/>
      <c r="E77" s="261"/>
      <c r="F77" s="261">
        <f aca="true" t="shared" si="5" ref="F77:F100">SUM(G77:J77)</f>
        <v>238.39986</v>
      </c>
      <c r="G77" s="261">
        <v>238.39986</v>
      </c>
      <c r="H77" s="261"/>
      <c r="I77" s="261"/>
      <c r="J77" s="261"/>
      <c r="K77" s="261"/>
      <c r="L77" s="261"/>
    </row>
    <row r="78" spans="1:12" ht="15.75">
      <c r="A78" s="259">
        <v>8</v>
      </c>
      <c r="B78" s="260" t="s">
        <v>71</v>
      </c>
      <c r="C78" s="261"/>
      <c r="D78" s="261"/>
      <c r="E78" s="261"/>
      <c r="F78" s="261">
        <f t="shared" si="5"/>
        <v>0</v>
      </c>
      <c r="G78" s="261"/>
      <c r="H78" s="261"/>
      <c r="I78" s="261"/>
      <c r="J78" s="261"/>
      <c r="K78" s="261"/>
      <c r="L78" s="261"/>
    </row>
    <row r="79" spans="1:12" ht="15.75">
      <c r="A79" s="259">
        <v>9</v>
      </c>
      <c r="B79" s="260" t="s">
        <v>62</v>
      </c>
      <c r="C79" s="261"/>
      <c r="D79" s="261"/>
      <c r="E79" s="261"/>
      <c r="F79" s="261">
        <f t="shared" si="5"/>
        <v>102.809614</v>
      </c>
      <c r="G79" s="261">
        <v>102.809614</v>
      </c>
      <c r="H79" s="261"/>
      <c r="I79" s="261"/>
      <c r="J79" s="261"/>
      <c r="K79" s="261"/>
      <c r="L79" s="261"/>
    </row>
    <row r="80" spans="1:12" s="106" customFormat="1" ht="20.25" customHeight="1">
      <c r="A80" s="268"/>
      <c r="B80" s="262" t="s">
        <v>219</v>
      </c>
      <c r="C80" s="269"/>
      <c r="D80" s="269"/>
      <c r="E80" s="269"/>
      <c r="F80" s="257">
        <f t="shared" si="5"/>
        <v>0</v>
      </c>
      <c r="G80" s="269"/>
      <c r="H80" s="269"/>
      <c r="I80" s="269"/>
      <c r="J80" s="269"/>
      <c r="K80" s="261"/>
      <c r="L80" s="261"/>
    </row>
    <row r="81" spans="1:12" ht="23.25" customHeight="1">
      <c r="A81" s="256" t="s">
        <v>63</v>
      </c>
      <c r="B81" s="20" t="s">
        <v>154</v>
      </c>
      <c r="C81" s="261"/>
      <c r="D81" s="261"/>
      <c r="E81" s="261"/>
      <c r="F81" s="257">
        <f t="shared" si="5"/>
        <v>0</v>
      </c>
      <c r="G81" s="261"/>
      <c r="H81" s="261"/>
      <c r="I81" s="261"/>
      <c r="J81" s="261"/>
      <c r="K81" s="261"/>
      <c r="L81" s="261"/>
    </row>
    <row r="82" spans="1:12" ht="23.25" customHeight="1">
      <c r="A82" s="256" t="s">
        <v>72</v>
      </c>
      <c r="B82" s="20" t="s">
        <v>74</v>
      </c>
      <c r="C82" s="261"/>
      <c r="D82" s="261"/>
      <c r="E82" s="261"/>
      <c r="F82" s="257">
        <f t="shared" si="5"/>
        <v>17078.75386</v>
      </c>
      <c r="G82" s="261">
        <f>G83+G84</f>
        <v>0</v>
      </c>
      <c r="H82" s="261">
        <f>H83+H84</f>
        <v>0</v>
      </c>
      <c r="I82" s="257">
        <f>I83+I84</f>
        <v>10000</v>
      </c>
      <c r="J82" s="257">
        <f>J83+J84</f>
        <v>7078.75386</v>
      </c>
      <c r="K82" s="257" t="e">
        <f>F82/C82*100</f>
        <v>#DIV/0!</v>
      </c>
      <c r="L82" s="257" t="e">
        <f>F82/D82*100</f>
        <v>#DIV/0!</v>
      </c>
    </row>
    <row r="83" spans="1:12" ht="30.75" customHeight="1">
      <c r="A83" s="259">
        <v>1</v>
      </c>
      <c r="B83" s="260" t="s">
        <v>75</v>
      </c>
      <c r="C83" s="261"/>
      <c r="D83" s="261"/>
      <c r="E83" s="261"/>
      <c r="F83" s="261">
        <f t="shared" si="5"/>
        <v>16559.90625</v>
      </c>
      <c r="G83" s="261"/>
      <c r="H83" s="261"/>
      <c r="I83" s="261">
        <v>10000</v>
      </c>
      <c r="J83" s="261">
        <v>6559.90625</v>
      </c>
      <c r="K83" s="261"/>
      <c r="L83" s="261"/>
    </row>
    <row r="84" spans="1:12" ht="23.25" customHeight="1">
      <c r="A84" s="259">
        <v>2</v>
      </c>
      <c r="B84" s="260" t="s">
        <v>76</v>
      </c>
      <c r="C84" s="261"/>
      <c r="D84" s="261"/>
      <c r="E84" s="261"/>
      <c r="F84" s="261">
        <f t="shared" si="5"/>
        <v>518.84761</v>
      </c>
      <c r="G84" s="261"/>
      <c r="H84" s="261"/>
      <c r="I84" s="261"/>
      <c r="J84" s="261">
        <v>518.84761</v>
      </c>
      <c r="K84" s="261"/>
      <c r="L84" s="261"/>
    </row>
    <row r="85" spans="1:12" s="70" customFormat="1" ht="23.25" customHeight="1">
      <c r="A85" s="256" t="s">
        <v>73</v>
      </c>
      <c r="B85" s="20" t="s">
        <v>256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</row>
    <row r="86" spans="1:12" ht="31.5">
      <c r="A86" s="256" t="s">
        <v>77</v>
      </c>
      <c r="B86" s="20" t="s">
        <v>78</v>
      </c>
      <c r="C86" s="261"/>
      <c r="D86" s="261"/>
      <c r="E86" s="261"/>
      <c r="F86" s="257">
        <f t="shared" si="5"/>
        <v>0</v>
      </c>
      <c r="G86" s="261"/>
      <c r="H86" s="261"/>
      <c r="I86" s="261"/>
      <c r="J86" s="261"/>
      <c r="K86" s="261"/>
      <c r="L86" s="261"/>
    </row>
    <row r="87" spans="1:12" s="70" customFormat="1" ht="31.5">
      <c r="A87" s="256">
        <v>1</v>
      </c>
      <c r="B87" s="20" t="s">
        <v>79</v>
      </c>
      <c r="C87" s="257"/>
      <c r="D87" s="257"/>
      <c r="E87" s="257"/>
      <c r="F87" s="257">
        <f t="shared" si="5"/>
        <v>0</v>
      </c>
      <c r="G87" s="257"/>
      <c r="H87" s="257"/>
      <c r="I87" s="257"/>
      <c r="J87" s="257"/>
      <c r="K87" s="261"/>
      <c r="L87" s="261"/>
    </row>
    <row r="88" spans="1:12" s="70" customFormat="1" ht="31.5" customHeight="1">
      <c r="A88" s="256">
        <v>2</v>
      </c>
      <c r="B88" s="20" t="s">
        <v>80</v>
      </c>
      <c r="C88" s="257"/>
      <c r="D88" s="257"/>
      <c r="E88" s="257"/>
      <c r="F88" s="257">
        <f t="shared" si="5"/>
        <v>0</v>
      </c>
      <c r="G88" s="257"/>
      <c r="H88" s="257"/>
      <c r="I88" s="257"/>
      <c r="J88" s="257"/>
      <c r="K88" s="261"/>
      <c r="L88" s="261"/>
    </row>
    <row r="89" spans="1:12" ht="21" customHeight="1">
      <c r="A89" s="259" t="s">
        <v>81</v>
      </c>
      <c r="B89" s="260" t="s">
        <v>82</v>
      </c>
      <c r="C89" s="261"/>
      <c r="D89" s="261"/>
      <c r="E89" s="261"/>
      <c r="F89" s="257">
        <f t="shared" si="5"/>
        <v>0</v>
      </c>
      <c r="G89" s="261"/>
      <c r="H89" s="261"/>
      <c r="I89" s="261"/>
      <c r="J89" s="261"/>
      <c r="K89" s="261"/>
      <c r="L89" s="261"/>
    </row>
    <row r="90" spans="1:12" ht="21" customHeight="1">
      <c r="A90" s="259" t="s">
        <v>83</v>
      </c>
      <c r="B90" s="260" t="s">
        <v>84</v>
      </c>
      <c r="C90" s="261"/>
      <c r="D90" s="261"/>
      <c r="E90" s="261"/>
      <c r="F90" s="257">
        <f t="shared" si="5"/>
        <v>0</v>
      </c>
      <c r="G90" s="261"/>
      <c r="H90" s="261"/>
      <c r="I90" s="261"/>
      <c r="J90" s="261"/>
      <c r="K90" s="261"/>
      <c r="L90" s="261"/>
    </row>
    <row r="91" spans="1:12" ht="21" customHeight="1">
      <c r="A91" s="256">
        <v>3</v>
      </c>
      <c r="B91" s="20" t="s">
        <v>85</v>
      </c>
      <c r="C91" s="261"/>
      <c r="D91" s="261"/>
      <c r="E91" s="261"/>
      <c r="F91" s="257">
        <f t="shared" si="5"/>
        <v>0</v>
      </c>
      <c r="G91" s="261"/>
      <c r="H91" s="261"/>
      <c r="I91" s="261"/>
      <c r="J91" s="261"/>
      <c r="K91" s="261"/>
      <c r="L91" s="261"/>
    </row>
    <row r="92" spans="1:12" ht="36.75" customHeight="1">
      <c r="A92" s="256" t="s">
        <v>17</v>
      </c>
      <c r="B92" s="20" t="s">
        <v>88</v>
      </c>
      <c r="C92" s="257">
        <f>C93</f>
        <v>305211</v>
      </c>
      <c r="D92" s="257">
        <f>D93</f>
        <v>498574</v>
      </c>
      <c r="E92" s="257">
        <f>E93</f>
        <v>0</v>
      </c>
      <c r="F92" s="257">
        <f t="shared" si="5"/>
        <v>1559490.8886540001</v>
      </c>
      <c r="G92" s="257">
        <f>G93+G98</f>
        <v>0</v>
      </c>
      <c r="H92" s="257">
        <f>H93+H98</f>
        <v>600024.167</v>
      </c>
      <c r="I92" s="257">
        <f>I93+I98</f>
        <v>582029.612754</v>
      </c>
      <c r="J92" s="257">
        <f>J93+J98</f>
        <v>377437.1089</v>
      </c>
      <c r="K92" s="261"/>
      <c r="L92" s="261"/>
    </row>
    <row r="93" spans="1:12" s="70" customFormat="1" ht="18.75" customHeight="1">
      <c r="A93" s="256" t="s">
        <v>86</v>
      </c>
      <c r="B93" s="20" t="s">
        <v>89</v>
      </c>
      <c r="C93" s="257">
        <f>C94+C95</f>
        <v>305211</v>
      </c>
      <c r="D93" s="257">
        <f>D94+D95</f>
        <v>498574</v>
      </c>
      <c r="E93" s="257"/>
      <c r="F93" s="257">
        <f t="shared" si="5"/>
        <v>950969.720212</v>
      </c>
      <c r="G93" s="257">
        <f>G94+G95</f>
        <v>0</v>
      </c>
      <c r="H93" s="257">
        <f>H94+H95</f>
        <v>0</v>
      </c>
      <c r="I93" s="257">
        <f>I94+I95</f>
        <v>573532.611312</v>
      </c>
      <c r="J93" s="257">
        <f>J94+J95</f>
        <v>377437.1089</v>
      </c>
      <c r="K93" s="257"/>
      <c r="L93" s="257"/>
    </row>
    <row r="94" spans="1:12" ht="18.75" customHeight="1">
      <c r="A94" s="259">
        <v>1</v>
      </c>
      <c r="B94" s="260" t="s">
        <v>90</v>
      </c>
      <c r="C94" s="261"/>
      <c r="D94" s="261">
        <v>90126</v>
      </c>
      <c r="E94" s="261"/>
      <c r="F94" s="261">
        <f t="shared" si="5"/>
        <v>90126</v>
      </c>
      <c r="G94" s="261"/>
      <c r="H94" s="261"/>
      <c r="I94" s="261"/>
      <c r="J94" s="261">
        <v>90126</v>
      </c>
      <c r="K94" s="261"/>
      <c r="L94" s="261"/>
    </row>
    <row r="95" spans="1:13" ht="18.75" customHeight="1">
      <c r="A95" s="259">
        <v>2</v>
      </c>
      <c r="B95" s="260" t="s">
        <v>91</v>
      </c>
      <c r="C95" s="261">
        <v>305211</v>
      </c>
      <c r="D95" s="261">
        <v>408448</v>
      </c>
      <c r="E95" s="261"/>
      <c r="F95" s="261">
        <f t="shared" si="5"/>
        <v>860843.720212</v>
      </c>
      <c r="G95" s="261"/>
      <c r="H95" s="261"/>
      <c r="I95" s="261">
        <v>573532.611312</v>
      </c>
      <c r="J95" s="261">
        <v>287311.1089</v>
      </c>
      <c r="K95" s="261"/>
      <c r="L95" s="261"/>
      <c r="M95" s="141">
        <v>386871600</v>
      </c>
    </row>
    <row r="96" spans="1:12" ht="35.25" customHeight="1">
      <c r="A96" s="259" t="s">
        <v>81</v>
      </c>
      <c r="B96" s="260" t="s">
        <v>92</v>
      </c>
      <c r="C96" s="261"/>
      <c r="D96" s="261"/>
      <c r="E96" s="261"/>
      <c r="F96" s="257">
        <f t="shared" si="5"/>
        <v>0</v>
      </c>
      <c r="G96" s="261"/>
      <c r="H96" s="261"/>
      <c r="I96" s="261"/>
      <c r="J96" s="261"/>
      <c r="K96" s="261"/>
      <c r="L96" s="261"/>
    </row>
    <row r="97" spans="1:12" ht="32.25" customHeight="1">
      <c r="A97" s="259" t="s">
        <v>83</v>
      </c>
      <c r="B97" s="260" t="s">
        <v>93</v>
      </c>
      <c r="C97" s="261"/>
      <c r="D97" s="261"/>
      <c r="E97" s="261"/>
      <c r="F97" s="257">
        <f t="shared" si="5"/>
        <v>0</v>
      </c>
      <c r="G97" s="261"/>
      <c r="H97" s="261"/>
      <c r="I97" s="261"/>
      <c r="J97" s="261"/>
      <c r="K97" s="261"/>
      <c r="L97" s="261"/>
    </row>
    <row r="98" spans="1:13" ht="23.25" customHeight="1">
      <c r="A98" s="256" t="s">
        <v>55</v>
      </c>
      <c r="B98" s="20" t="s">
        <v>94</v>
      </c>
      <c r="C98" s="261"/>
      <c r="D98" s="261"/>
      <c r="E98" s="261"/>
      <c r="F98" s="257">
        <f t="shared" si="5"/>
        <v>608521.168442</v>
      </c>
      <c r="G98" s="261"/>
      <c r="H98" s="257">
        <v>600024.167</v>
      </c>
      <c r="I98" s="257">
        <v>8497.001442</v>
      </c>
      <c r="J98" s="257"/>
      <c r="K98" s="261"/>
      <c r="L98" s="261"/>
      <c r="M98" s="104">
        <f>64515.65632-H98</f>
        <v>-535508.5106800001</v>
      </c>
    </row>
    <row r="99" spans="1:13" ht="21" customHeight="1">
      <c r="A99" s="256" t="s">
        <v>87</v>
      </c>
      <c r="B99" s="20" t="s">
        <v>96</v>
      </c>
      <c r="C99" s="261"/>
      <c r="D99" s="261">
        <v>70000</v>
      </c>
      <c r="E99" s="261"/>
      <c r="F99" s="257">
        <f t="shared" si="5"/>
        <v>531607.00699</v>
      </c>
      <c r="G99" s="261"/>
      <c r="H99" s="257"/>
      <c r="I99" s="257">
        <v>493968.019352</v>
      </c>
      <c r="J99" s="257">
        <v>37638.987638</v>
      </c>
      <c r="K99" s="261"/>
      <c r="L99" s="261"/>
      <c r="M99" s="136"/>
    </row>
    <row r="100" spans="1:12" ht="21" customHeight="1">
      <c r="A100" s="250" t="s">
        <v>95</v>
      </c>
      <c r="B100" s="251" t="s">
        <v>97</v>
      </c>
      <c r="C100" s="252"/>
      <c r="D100" s="252"/>
      <c r="E100" s="252"/>
      <c r="F100" s="253">
        <f t="shared" si="5"/>
        <v>54169.789972</v>
      </c>
      <c r="G100" s="252"/>
      <c r="H100" s="253"/>
      <c r="I100" s="253">
        <v>46625.470459</v>
      </c>
      <c r="J100" s="253">
        <v>7544.319513</v>
      </c>
      <c r="K100" s="252"/>
      <c r="L100" s="252"/>
    </row>
    <row r="101" spans="1:12" ht="21" customHeight="1">
      <c r="A101" s="130"/>
      <c r="B101" s="131"/>
      <c r="C101" s="142"/>
      <c r="D101" s="142"/>
      <c r="E101" s="142"/>
      <c r="F101" s="143"/>
      <c r="G101" s="144"/>
      <c r="H101" s="143"/>
      <c r="I101" s="143"/>
      <c r="J101" s="157"/>
      <c r="K101" s="158"/>
      <c r="L101" s="158"/>
    </row>
    <row r="102" spans="1:12" ht="21" customHeight="1" hidden="1">
      <c r="A102" s="130"/>
      <c r="B102" s="131" t="s">
        <v>289</v>
      </c>
      <c r="C102" s="145">
        <f>C103+C106+C107</f>
        <v>1480467.6400000001</v>
      </c>
      <c r="D102" s="145">
        <f>D103+D106+D107</f>
        <v>1779454.6400000001</v>
      </c>
      <c r="E102" s="145">
        <f aca="true" t="shared" si="6" ref="E102:K102">E103+E106+E107</f>
        <v>0</v>
      </c>
      <c r="F102" s="143">
        <f t="shared" si="6"/>
        <v>2971470.1527259997</v>
      </c>
      <c r="G102" s="143">
        <f t="shared" si="6"/>
        <v>0</v>
      </c>
      <c r="H102" s="143">
        <f t="shared" si="6"/>
        <v>0</v>
      </c>
      <c r="I102" s="143">
        <f t="shared" si="6"/>
        <v>1467661.068038</v>
      </c>
      <c r="J102" s="157">
        <f t="shared" si="6"/>
        <v>18074.008325</v>
      </c>
      <c r="K102" s="157">
        <f t="shared" si="6"/>
        <v>0</v>
      </c>
      <c r="L102" s="158"/>
    </row>
    <row r="103" spans="1:12" ht="21" customHeight="1" hidden="1">
      <c r="A103" s="130"/>
      <c r="B103" s="131" t="s">
        <v>288</v>
      </c>
      <c r="C103" s="145">
        <f aca="true" t="shared" si="7" ref="C103:K103">C104+C105</f>
        <v>1175256.6400000001</v>
      </c>
      <c r="D103" s="145">
        <f t="shared" si="7"/>
        <v>1210880.6400000001</v>
      </c>
      <c r="E103" s="145">
        <f t="shared" si="7"/>
        <v>0</v>
      </c>
      <c r="F103" s="143">
        <f t="shared" si="7"/>
        <v>1485735.0763629999</v>
      </c>
      <c r="G103" s="143">
        <f t="shared" si="7"/>
        <v>0</v>
      </c>
      <c r="H103" s="143">
        <f t="shared" si="7"/>
        <v>0</v>
      </c>
      <c r="I103" s="143">
        <f t="shared" si="7"/>
        <v>1467661.068038</v>
      </c>
      <c r="J103" s="157">
        <f t="shared" si="7"/>
        <v>18074.008325</v>
      </c>
      <c r="K103" s="157">
        <f t="shared" si="7"/>
        <v>0</v>
      </c>
      <c r="L103" s="158"/>
    </row>
    <row r="104" spans="1:10" ht="15.75" hidden="1">
      <c r="A104" s="11"/>
      <c r="B104" s="103" t="s">
        <v>284</v>
      </c>
      <c r="C104" s="146">
        <f>C17+C24+C30+C32+C37+C43+C46+C50+C61+C63+C66-65700-50000-5000-4500-1300-2900-1200-2250</f>
        <v>181143</v>
      </c>
      <c r="D104" s="146">
        <f>D17+D24+D30+D32+D37+D43+D46+D50+D61+D63+D66-65700-50000-5000-4500-1300-2900-1200-2250</f>
        <v>216143</v>
      </c>
      <c r="F104" s="136">
        <f>I104+J104</f>
        <v>336420.225165</v>
      </c>
      <c r="I104" s="136">
        <f>I17+I24+I30+I32+I37+I43+I46+I50+I60+I61+I63+I66</f>
        <v>324207.066691</v>
      </c>
      <c r="J104" s="159">
        <f>J17+J24+J30+J32+J37+J43+J46+J50+J60+J61+J63+J66</f>
        <v>12213.158474</v>
      </c>
    </row>
    <row r="105" spans="1:10" ht="15.75" hidden="1">
      <c r="A105" s="11"/>
      <c r="B105" s="8" t="s">
        <v>285</v>
      </c>
      <c r="C105" s="146">
        <f>(C13-C17+C19-C24+C26-C30+C33)*52%</f>
        <v>994113.64</v>
      </c>
      <c r="D105" s="146">
        <f>(D13-D17+D19-D24+D26-D30+D33)*52%</f>
        <v>994737.64</v>
      </c>
      <c r="F105" s="136">
        <f>I105+J105</f>
        <v>1149314.851198</v>
      </c>
      <c r="I105" s="136">
        <f>(I13-I17+I19-I24+I26-I30+I33)</f>
        <v>1143454.001347</v>
      </c>
      <c r="J105" s="159">
        <f>(J13-J17+J19-J24+J26-J30+J33)</f>
        <v>5860.849851</v>
      </c>
    </row>
    <row r="106" spans="1:6" ht="15.75" hidden="1">
      <c r="A106" s="11"/>
      <c r="B106" s="8" t="s">
        <v>286</v>
      </c>
      <c r="C106" s="147"/>
      <c r="D106" s="147">
        <v>70000</v>
      </c>
      <c r="E106" s="135">
        <f>E105+E104</f>
        <v>0</v>
      </c>
      <c r="F106" s="136">
        <f>F105+F104</f>
        <v>1485735.0763629999</v>
      </c>
    </row>
    <row r="107" spans="1:4" ht="15.75" hidden="1">
      <c r="A107" s="11"/>
      <c r="B107" s="8" t="s">
        <v>287</v>
      </c>
      <c r="C107" s="147">
        <v>305211</v>
      </c>
      <c r="D107" s="147">
        <v>498574</v>
      </c>
    </row>
    <row r="108" ht="15.75" hidden="1">
      <c r="A108" s="11"/>
    </row>
    <row r="109" ht="15.75" hidden="1">
      <c r="A109" s="11"/>
    </row>
    <row r="110" ht="15.75" hidden="1">
      <c r="A110" s="11"/>
    </row>
    <row r="111" ht="15.75" hidden="1">
      <c r="A111" s="11"/>
    </row>
  </sheetData>
  <sheetProtection/>
  <mergeCells count="13">
    <mergeCell ref="J2:L3"/>
    <mergeCell ref="A4:L4"/>
    <mergeCell ref="J6:L6"/>
    <mergeCell ref="K7:L7"/>
    <mergeCell ref="A7:A8"/>
    <mergeCell ref="A5:L5"/>
    <mergeCell ref="I1:L1"/>
    <mergeCell ref="A1:B1"/>
    <mergeCell ref="A2:B2"/>
    <mergeCell ref="B7:B8"/>
    <mergeCell ref="C7:D7"/>
    <mergeCell ref="F7:F8"/>
    <mergeCell ref="G7:J7"/>
  </mergeCells>
  <printOptions/>
  <pageMargins left="0.35" right="0.17" top="1" bottom="0.49" header="0.3" footer="0.37"/>
  <pageSetup horizontalDpi="600" verticalDpi="600" orientation="landscape" paperSize="9" scale="90" r:id="rId1"/>
  <headerFooter>
    <oddFooter>&amp;C&amp;14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PageLayoutView="0" workbookViewId="0" topLeftCell="A43">
      <selection activeCell="G51" sqref="G51"/>
    </sheetView>
  </sheetViews>
  <sheetFormatPr defaultColWidth="9.140625" defaultRowHeight="15"/>
  <cols>
    <col min="1" max="1" width="6.57421875" style="0" customWidth="1"/>
    <col min="2" max="2" width="63.28125" style="12" customWidth="1"/>
    <col min="3" max="3" width="14.7109375" style="17" customWidth="1"/>
    <col min="4" max="4" width="12.7109375" style="19" customWidth="1"/>
    <col min="5" max="5" width="14.140625" style="17" customWidth="1"/>
    <col min="6" max="6" width="11.28125" style="17" hidden="1" customWidth="1"/>
    <col min="7" max="7" width="14.421875" style="17" customWidth="1"/>
    <col min="8" max="8" width="12.140625" style="17" customWidth="1"/>
    <col min="9" max="9" width="12.7109375" style="17" customWidth="1"/>
    <col min="10" max="10" width="12.8515625" style="17" customWidth="1"/>
    <col min="11" max="11" width="16.7109375" style="0" bestFit="1" customWidth="1"/>
  </cols>
  <sheetData>
    <row r="1" spans="1:10" s="2" customFormat="1" ht="15.75">
      <c r="A1" s="366" t="s">
        <v>220</v>
      </c>
      <c r="B1" s="366"/>
      <c r="C1" s="16"/>
      <c r="D1" s="132"/>
      <c r="E1" s="16"/>
      <c r="F1" s="16"/>
      <c r="G1" s="16"/>
      <c r="H1" s="373" t="s">
        <v>299</v>
      </c>
      <c r="I1" s="373"/>
      <c r="J1" s="373"/>
    </row>
    <row r="2" spans="1:10" s="2" customFormat="1" ht="15.75">
      <c r="A2" s="367" t="s">
        <v>227</v>
      </c>
      <c r="B2" s="367"/>
      <c r="C2" s="16"/>
      <c r="D2" s="132"/>
      <c r="E2" s="16"/>
      <c r="F2" s="16"/>
      <c r="G2" s="16"/>
      <c r="H2" s="386"/>
      <c r="I2" s="387"/>
      <c r="J2" s="387"/>
    </row>
    <row r="3" spans="1:10" s="2" customFormat="1" ht="15.75">
      <c r="A3" s="1"/>
      <c r="B3" s="12"/>
      <c r="C3" s="16"/>
      <c r="D3" s="132"/>
      <c r="E3" s="16"/>
      <c r="F3" s="16"/>
      <c r="G3" s="16"/>
      <c r="H3" s="387"/>
      <c r="I3" s="387"/>
      <c r="J3" s="387"/>
    </row>
    <row r="4" spans="1:10" ht="48.75" customHeight="1">
      <c r="A4" s="384" t="s">
        <v>321</v>
      </c>
      <c r="B4" s="384"/>
      <c r="C4" s="384"/>
      <c r="D4" s="384"/>
      <c r="E4" s="384"/>
      <c r="F4" s="384"/>
      <c r="G4" s="384"/>
      <c r="H4" s="384"/>
      <c r="I4" s="384"/>
      <c r="J4" s="384"/>
    </row>
    <row r="5" spans="1:12" s="67" customFormat="1" ht="18.75">
      <c r="A5" s="388" t="s">
        <v>301</v>
      </c>
      <c r="B5" s="388"/>
      <c r="C5" s="388"/>
      <c r="D5" s="388"/>
      <c r="E5" s="388"/>
      <c r="F5" s="388"/>
      <c r="G5" s="388"/>
      <c r="H5" s="388"/>
      <c r="I5" s="388"/>
      <c r="J5" s="388"/>
      <c r="K5" s="270"/>
      <c r="L5" s="270"/>
    </row>
    <row r="6" spans="9:10" ht="15.75">
      <c r="I6" s="383" t="s">
        <v>257</v>
      </c>
      <c r="J6" s="383"/>
    </row>
    <row r="7" spans="1:10" ht="15.75">
      <c r="A7" s="385" t="s">
        <v>7</v>
      </c>
      <c r="B7" s="385" t="s">
        <v>98</v>
      </c>
      <c r="C7" s="382" t="s">
        <v>9</v>
      </c>
      <c r="D7" s="382"/>
      <c r="E7" s="382" t="s">
        <v>10</v>
      </c>
      <c r="F7" s="382"/>
      <c r="G7" s="382"/>
      <c r="H7" s="382"/>
      <c r="I7" s="382" t="s">
        <v>99</v>
      </c>
      <c r="J7" s="382"/>
    </row>
    <row r="8" spans="1:11" ht="39.75" customHeight="1">
      <c r="A8" s="385"/>
      <c r="B8" s="385"/>
      <c r="C8" s="69" t="s">
        <v>13</v>
      </c>
      <c r="D8" s="129" t="s">
        <v>14</v>
      </c>
      <c r="E8" s="69" t="s">
        <v>100</v>
      </c>
      <c r="F8" s="69" t="s">
        <v>4</v>
      </c>
      <c r="G8" s="69" t="s">
        <v>5</v>
      </c>
      <c r="H8" s="69" t="s">
        <v>6</v>
      </c>
      <c r="I8" s="18" t="s">
        <v>13</v>
      </c>
      <c r="J8" s="18" t="s">
        <v>14</v>
      </c>
      <c r="K8" s="19"/>
    </row>
    <row r="9" spans="1:10" s="45" customFormat="1" ht="21" customHeight="1">
      <c r="A9" s="271" t="s">
        <v>16</v>
      </c>
      <c r="B9" s="271" t="s">
        <v>17</v>
      </c>
      <c r="C9" s="163">
        <v>1</v>
      </c>
      <c r="D9" s="163">
        <v>2</v>
      </c>
      <c r="E9" s="164" t="s">
        <v>101</v>
      </c>
      <c r="F9" s="164">
        <v>4</v>
      </c>
      <c r="G9" s="163">
        <v>5</v>
      </c>
      <c r="H9" s="163">
        <v>6</v>
      </c>
      <c r="I9" s="44" t="s">
        <v>102</v>
      </c>
      <c r="J9" s="44" t="s">
        <v>103</v>
      </c>
    </row>
    <row r="10" spans="1:11" ht="23.25" customHeight="1">
      <c r="A10" s="276" t="s">
        <v>16</v>
      </c>
      <c r="B10" s="277" t="s">
        <v>104</v>
      </c>
      <c r="C10" s="278">
        <f aca="true" t="shared" si="0" ref="C10:H10">C11+C29+C30+C44+C45+C46+C47+C48+C49+C50</f>
        <v>1031072</v>
      </c>
      <c r="D10" s="278">
        <f t="shared" si="0"/>
        <v>1136696</v>
      </c>
      <c r="E10" s="278">
        <f t="shared" si="0"/>
        <v>1995232.2495209998</v>
      </c>
      <c r="F10" s="278">
        <f t="shared" si="0"/>
        <v>0</v>
      </c>
      <c r="G10" s="278">
        <f t="shared" si="0"/>
        <v>1572908.4023600002</v>
      </c>
      <c r="H10" s="278">
        <f t="shared" si="0"/>
        <v>422323.847161</v>
      </c>
      <c r="I10" s="278">
        <f>E10/C10*100</f>
        <v>193.51046769973385</v>
      </c>
      <c r="J10" s="278">
        <f>E10/D10*100</f>
        <v>175.52909920691195</v>
      </c>
      <c r="K10" s="15"/>
    </row>
    <row r="11" spans="1:11" ht="23.25" customHeight="1">
      <c r="A11" s="279" t="s">
        <v>86</v>
      </c>
      <c r="B11" s="280" t="s">
        <v>105</v>
      </c>
      <c r="C11" s="281">
        <f>C12+C27+C28</f>
        <v>235663</v>
      </c>
      <c r="D11" s="281">
        <f>D12+D27+D28</f>
        <v>325663</v>
      </c>
      <c r="E11" s="281">
        <f>E12+E27+E28</f>
        <v>364669.902215</v>
      </c>
      <c r="F11" s="281"/>
      <c r="G11" s="281">
        <f>G12+G27+G28</f>
        <v>234720.43984099998</v>
      </c>
      <c r="H11" s="281">
        <f>H12+H27+H28</f>
        <v>129949.462374</v>
      </c>
      <c r="I11" s="281">
        <f>E11/C11*100</f>
        <v>154.74211149607703</v>
      </c>
      <c r="J11" s="281">
        <f>E11/D11*100</f>
        <v>111.97768927234594</v>
      </c>
      <c r="K11" s="15"/>
    </row>
    <row r="12" spans="1:11" ht="23.25" customHeight="1">
      <c r="A12" s="279">
        <v>1</v>
      </c>
      <c r="B12" s="280" t="s">
        <v>106</v>
      </c>
      <c r="C12" s="281">
        <f>SUM(C14:C26)</f>
        <v>235663</v>
      </c>
      <c r="D12" s="281">
        <f>SUM(D14:D26)</f>
        <v>325663</v>
      </c>
      <c r="E12" s="281">
        <f>SUM(E14:E26)</f>
        <v>364669.902215</v>
      </c>
      <c r="F12" s="281"/>
      <c r="G12" s="281">
        <f>SUM(G14:G26)</f>
        <v>234720.43984099998</v>
      </c>
      <c r="H12" s="281">
        <f>SUM(H14:H26)</f>
        <v>129949.462374</v>
      </c>
      <c r="I12" s="281">
        <f>E12/C12*100</f>
        <v>154.74211149607703</v>
      </c>
      <c r="J12" s="281">
        <f>E12/D12*100</f>
        <v>111.97768927234594</v>
      </c>
      <c r="K12" s="15"/>
    </row>
    <row r="13" spans="1:11" s="13" customFormat="1" ht="23.25" customHeight="1">
      <c r="A13" s="282"/>
      <c r="B13" s="283" t="s">
        <v>225</v>
      </c>
      <c r="C13" s="284"/>
      <c r="D13" s="284"/>
      <c r="E13" s="285"/>
      <c r="F13" s="285"/>
      <c r="G13" s="285"/>
      <c r="H13" s="285"/>
      <c r="I13" s="285"/>
      <c r="J13" s="285"/>
      <c r="K13" s="21"/>
    </row>
    <row r="14" spans="1:10" ht="23.25" customHeight="1">
      <c r="A14" s="286" t="s">
        <v>56</v>
      </c>
      <c r="B14" s="287" t="s">
        <v>107</v>
      </c>
      <c r="C14" s="284"/>
      <c r="D14" s="284"/>
      <c r="E14" s="284">
        <f aca="true" t="shared" si="1" ref="E14:E29">F14+G14+H14</f>
        <v>1160.392</v>
      </c>
      <c r="F14" s="284"/>
      <c r="G14" s="284">
        <v>1160.392</v>
      </c>
      <c r="H14" s="284"/>
      <c r="I14" s="284" t="e">
        <f>E14/C14*100</f>
        <v>#DIV/0!</v>
      </c>
      <c r="J14" s="284" t="e">
        <f>E14/D14*100</f>
        <v>#DIV/0!</v>
      </c>
    </row>
    <row r="15" spans="1:10" ht="23.25" customHeight="1">
      <c r="A15" s="286" t="s">
        <v>57</v>
      </c>
      <c r="B15" s="287" t="s">
        <v>108</v>
      </c>
      <c r="C15" s="284">
        <f>2000</f>
        <v>2000</v>
      </c>
      <c r="D15" s="284">
        <f>2000+1500</f>
        <v>3500</v>
      </c>
      <c r="E15" s="284">
        <f t="shared" si="1"/>
        <v>8938.24</v>
      </c>
      <c r="F15" s="284"/>
      <c r="G15" s="284">
        <v>7945.266</v>
      </c>
      <c r="H15" s="284">
        <v>992.974</v>
      </c>
      <c r="I15" s="284">
        <f>E15/C15*100</f>
        <v>446.91200000000003</v>
      </c>
      <c r="J15" s="284">
        <f>E15/D15*100</f>
        <v>255.3782857142857</v>
      </c>
    </row>
    <row r="16" spans="1:10" ht="23.25" customHeight="1">
      <c r="A16" s="286" t="s">
        <v>58</v>
      </c>
      <c r="B16" s="287" t="s">
        <v>156</v>
      </c>
      <c r="C16" s="284"/>
      <c r="D16" s="284">
        <f>643.13+13061</f>
        <v>13704.13</v>
      </c>
      <c r="E16" s="284">
        <f t="shared" si="1"/>
        <v>45429.265140999996</v>
      </c>
      <c r="F16" s="284"/>
      <c r="G16" s="284">
        <v>25887.140956</v>
      </c>
      <c r="H16" s="284">
        <v>19542.124185</v>
      </c>
      <c r="I16" s="284" t="e">
        <f>E16/C16*100</f>
        <v>#DIV/0!</v>
      </c>
      <c r="J16" s="284">
        <f>E16/D16*100</f>
        <v>331.5005413769426</v>
      </c>
    </row>
    <row r="17" spans="1:10" ht="23.25" customHeight="1">
      <c r="A17" s="286" t="s">
        <v>59</v>
      </c>
      <c r="B17" s="287" t="s">
        <v>157</v>
      </c>
      <c r="C17" s="284"/>
      <c r="D17" s="284"/>
      <c r="E17" s="284">
        <f t="shared" si="1"/>
        <v>0</v>
      </c>
      <c r="F17" s="284"/>
      <c r="G17" s="284"/>
      <c r="H17" s="284"/>
      <c r="I17" s="284"/>
      <c r="J17" s="284"/>
    </row>
    <row r="18" spans="1:10" ht="23.25" customHeight="1">
      <c r="A18" s="286" t="s">
        <v>60</v>
      </c>
      <c r="B18" s="287" t="s">
        <v>158</v>
      </c>
      <c r="C18" s="284">
        <v>1300</v>
      </c>
      <c r="D18" s="284">
        <v>1300</v>
      </c>
      <c r="E18" s="284">
        <f t="shared" si="1"/>
        <v>576.149</v>
      </c>
      <c r="F18" s="284"/>
      <c r="G18" s="284">
        <v>108.205</v>
      </c>
      <c r="H18" s="284">
        <v>467.944</v>
      </c>
      <c r="I18" s="284">
        <f>E18/C18*100</f>
        <v>44.319153846153846</v>
      </c>
      <c r="J18" s="284">
        <f>E18/D18*100</f>
        <v>44.319153846153846</v>
      </c>
    </row>
    <row r="19" spans="1:10" ht="23.25" customHeight="1">
      <c r="A19" s="286" t="s">
        <v>61</v>
      </c>
      <c r="B19" s="287" t="s">
        <v>159</v>
      </c>
      <c r="C19" s="284">
        <f>6770+24400</f>
        <v>31170</v>
      </c>
      <c r="D19" s="284">
        <f>6770+2750-1000+24400</f>
        <v>32920</v>
      </c>
      <c r="E19" s="284">
        <f t="shared" si="1"/>
        <v>16705.335634</v>
      </c>
      <c r="F19" s="284"/>
      <c r="G19" s="284">
        <v>14442.164334</v>
      </c>
      <c r="H19" s="284">
        <v>2263.1713</v>
      </c>
      <c r="I19" s="284"/>
      <c r="J19" s="284"/>
    </row>
    <row r="20" spans="1:10" ht="23.25" customHeight="1">
      <c r="A20" s="286" t="s">
        <v>109</v>
      </c>
      <c r="B20" s="287" t="s">
        <v>160</v>
      </c>
      <c r="C20" s="284"/>
      <c r="D20" s="284"/>
      <c r="E20" s="284">
        <f t="shared" si="1"/>
        <v>161.47443</v>
      </c>
      <c r="F20" s="284"/>
      <c r="G20" s="284"/>
      <c r="H20" s="284">
        <v>161.47443</v>
      </c>
      <c r="I20" s="284"/>
      <c r="J20" s="284"/>
    </row>
    <row r="21" spans="1:10" ht="23.25" customHeight="1">
      <c r="A21" s="286" t="s">
        <v>110</v>
      </c>
      <c r="B21" s="287" t="s">
        <v>161</v>
      </c>
      <c r="C21" s="284"/>
      <c r="D21" s="284">
        <f>1000+2711</f>
        <v>3711</v>
      </c>
      <c r="E21" s="284">
        <f t="shared" si="1"/>
        <v>16782.648</v>
      </c>
      <c r="F21" s="284"/>
      <c r="G21" s="284">
        <v>15482.983</v>
      </c>
      <c r="H21" s="284">
        <v>1299.665</v>
      </c>
      <c r="I21" s="284"/>
      <c r="J21" s="284"/>
    </row>
    <row r="22" spans="1:10" ht="23.25" customHeight="1">
      <c r="A22" s="286" t="s">
        <v>111</v>
      </c>
      <c r="B22" s="287" t="s">
        <v>162</v>
      </c>
      <c r="C22" s="284"/>
      <c r="D22" s="284">
        <v>650</v>
      </c>
      <c r="E22" s="284">
        <f t="shared" si="1"/>
        <v>634.797</v>
      </c>
      <c r="F22" s="284"/>
      <c r="G22" s="284">
        <v>327.837</v>
      </c>
      <c r="H22" s="284">
        <v>306.96</v>
      </c>
      <c r="I22" s="284"/>
      <c r="J22" s="284"/>
    </row>
    <row r="23" spans="1:10" ht="23.25" customHeight="1">
      <c r="A23" s="286" t="s">
        <v>112</v>
      </c>
      <c r="B23" s="287" t="s">
        <v>291</v>
      </c>
      <c r="C23" s="284">
        <f>20740.87+60091+59036+19200+7900+5818+18553+4354.13</f>
        <v>195693</v>
      </c>
      <c r="D23" s="284">
        <f>20740.87+44950+60091+59036+16750-3200+19200+18553+23107</f>
        <v>259227.87</v>
      </c>
      <c r="E23" s="284">
        <f t="shared" si="1"/>
        <v>242068.6592</v>
      </c>
      <c r="F23" s="284"/>
      <c r="G23" s="284">
        <v>157586.205551</v>
      </c>
      <c r="H23" s="284">
        <v>84482.453649</v>
      </c>
      <c r="I23" s="284">
        <f>E23/C23*100</f>
        <v>123.69816968414813</v>
      </c>
      <c r="J23" s="284">
        <f>E23/D23*100</f>
        <v>93.3806458387364</v>
      </c>
    </row>
    <row r="24" spans="1:10" ht="23.25" customHeight="1">
      <c r="A24" s="286" t="s">
        <v>114</v>
      </c>
      <c r="B24" s="287" t="s">
        <v>115</v>
      </c>
      <c r="C24" s="284">
        <f>300+1500+3700</f>
        <v>5500</v>
      </c>
      <c r="D24" s="284">
        <f>300+5150+1500+3700</f>
        <v>10650</v>
      </c>
      <c r="E24" s="284">
        <f t="shared" si="1"/>
        <v>25531.7341</v>
      </c>
      <c r="F24" s="284"/>
      <c r="G24" s="284">
        <v>10242.433</v>
      </c>
      <c r="H24" s="284">
        <v>15289.3011</v>
      </c>
      <c r="I24" s="284"/>
      <c r="J24" s="284"/>
    </row>
    <row r="25" spans="1:10" ht="23.25" customHeight="1">
      <c r="A25" s="286" t="s">
        <v>116</v>
      </c>
      <c r="B25" s="287" t="s">
        <v>164</v>
      </c>
      <c r="C25" s="284"/>
      <c r="D25" s="284"/>
      <c r="E25" s="284">
        <f t="shared" si="1"/>
        <v>6681.20771</v>
      </c>
      <c r="F25" s="284"/>
      <c r="G25" s="284">
        <v>1537.813</v>
      </c>
      <c r="H25" s="284">
        <v>5143.39471</v>
      </c>
      <c r="I25" s="284"/>
      <c r="J25" s="284"/>
    </row>
    <row r="26" spans="1:10" ht="23.25" customHeight="1">
      <c r="A26" s="286" t="s">
        <v>117</v>
      </c>
      <c r="B26" s="287" t="s">
        <v>118</v>
      </c>
      <c r="C26" s="284"/>
      <c r="D26" s="284"/>
      <c r="E26" s="281">
        <f t="shared" si="1"/>
        <v>0</v>
      </c>
      <c r="F26" s="284"/>
      <c r="G26" s="284"/>
      <c r="H26" s="284"/>
      <c r="I26" s="284"/>
      <c r="J26" s="284"/>
    </row>
    <row r="27" spans="1:10" ht="33.75" customHeight="1">
      <c r="A27" s="279">
        <v>2</v>
      </c>
      <c r="B27" s="280" t="s">
        <v>206</v>
      </c>
      <c r="C27" s="284"/>
      <c r="D27" s="284"/>
      <c r="E27" s="281">
        <f t="shared" si="1"/>
        <v>0</v>
      </c>
      <c r="F27" s="284"/>
      <c r="G27" s="284"/>
      <c r="H27" s="284"/>
      <c r="I27" s="284"/>
      <c r="J27" s="284"/>
    </row>
    <row r="28" spans="1:10" ht="23.25" customHeight="1">
      <c r="A28" s="279">
        <v>3</v>
      </c>
      <c r="B28" s="280" t="s">
        <v>119</v>
      </c>
      <c r="C28" s="284"/>
      <c r="D28" s="284"/>
      <c r="E28" s="281">
        <f t="shared" si="1"/>
        <v>0</v>
      </c>
      <c r="F28" s="284"/>
      <c r="G28" s="284"/>
      <c r="H28" s="284"/>
      <c r="I28" s="284"/>
      <c r="J28" s="284"/>
    </row>
    <row r="29" spans="1:10" ht="23.25" customHeight="1">
      <c r="A29" s="279" t="s">
        <v>55</v>
      </c>
      <c r="B29" s="280" t="s">
        <v>120</v>
      </c>
      <c r="C29" s="281"/>
      <c r="D29" s="281"/>
      <c r="E29" s="281">
        <f t="shared" si="1"/>
        <v>0</v>
      </c>
      <c r="F29" s="281"/>
      <c r="G29" s="281"/>
      <c r="H29" s="281"/>
      <c r="I29" s="284"/>
      <c r="J29" s="284"/>
    </row>
    <row r="30" spans="1:11" ht="23.25" customHeight="1">
      <c r="A30" s="279" t="s">
        <v>63</v>
      </c>
      <c r="B30" s="280" t="s">
        <v>121</v>
      </c>
      <c r="C30" s="281">
        <f>SUM(C31:C43)</f>
        <v>753755</v>
      </c>
      <c r="D30" s="281">
        <f>SUM(D31:D43)</f>
        <v>775608</v>
      </c>
      <c r="E30" s="281">
        <f>SUM(E31:E43)</f>
        <v>766990.3860630001</v>
      </c>
      <c r="F30" s="281"/>
      <c r="G30" s="281">
        <f>SUM(G31:G43)</f>
        <v>538005.072979</v>
      </c>
      <c r="H30" s="281">
        <f>SUM(H31:H43)</f>
        <v>228985.313084</v>
      </c>
      <c r="I30" s="281">
        <f aca="true" t="shared" si="2" ref="I30:I44">E30/C30*100</f>
        <v>101.75592680154692</v>
      </c>
      <c r="J30" s="281">
        <f aca="true" t="shared" si="3" ref="J30:J44">E30/D30*100</f>
        <v>98.88892147360522</v>
      </c>
      <c r="K30" s="15"/>
    </row>
    <row r="31" spans="1:10" ht="23.25" customHeight="1">
      <c r="A31" s="286" t="s">
        <v>81</v>
      </c>
      <c r="B31" s="287" t="s">
        <v>107</v>
      </c>
      <c r="C31" s="284">
        <v>8832</v>
      </c>
      <c r="D31" s="284">
        <v>10319</v>
      </c>
      <c r="E31" s="284">
        <f aca="true" t="shared" si="4" ref="E31:E46">F31+G31+H31</f>
        <v>11110.930319</v>
      </c>
      <c r="F31" s="284"/>
      <c r="G31" s="284">
        <v>8775.0854</v>
      </c>
      <c r="H31" s="284">
        <v>2335.844919</v>
      </c>
      <c r="I31" s="284">
        <f t="shared" si="2"/>
        <v>125.8031059669384</v>
      </c>
      <c r="J31" s="284">
        <f t="shared" si="3"/>
        <v>107.67448705300899</v>
      </c>
    </row>
    <row r="32" spans="1:10" ht="23.25" customHeight="1">
      <c r="A32" s="286" t="s">
        <v>83</v>
      </c>
      <c r="B32" s="287" t="s">
        <v>108</v>
      </c>
      <c r="C32" s="284">
        <v>4271</v>
      </c>
      <c r="D32" s="284">
        <v>4271</v>
      </c>
      <c r="E32" s="284">
        <f t="shared" si="4"/>
        <v>5933.959201</v>
      </c>
      <c r="F32" s="284"/>
      <c r="G32" s="284">
        <v>3206.589</v>
      </c>
      <c r="H32" s="284">
        <v>2727.370201</v>
      </c>
      <c r="I32" s="284">
        <f t="shared" si="2"/>
        <v>138.93606183563568</v>
      </c>
      <c r="J32" s="284">
        <f t="shared" si="3"/>
        <v>138.93606183563568</v>
      </c>
    </row>
    <row r="33" spans="1:10" ht="23.25" customHeight="1">
      <c r="A33" s="286" t="s">
        <v>122</v>
      </c>
      <c r="B33" s="287" t="s">
        <v>290</v>
      </c>
      <c r="C33" s="284">
        <v>321540</v>
      </c>
      <c r="D33" s="284">
        <v>328081</v>
      </c>
      <c r="E33" s="284">
        <f t="shared" si="4"/>
        <v>301714.448172</v>
      </c>
      <c r="F33" s="284"/>
      <c r="G33" s="284">
        <v>285536.601172</v>
      </c>
      <c r="H33" s="284">
        <v>16177.847</v>
      </c>
      <c r="I33" s="284">
        <f t="shared" si="2"/>
        <v>93.83418802388506</v>
      </c>
      <c r="J33" s="284">
        <f t="shared" si="3"/>
        <v>91.96340177334255</v>
      </c>
    </row>
    <row r="34" spans="1:10" ht="23.25" customHeight="1">
      <c r="A34" s="286" t="s">
        <v>123</v>
      </c>
      <c r="B34" s="287" t="s">
        <v>157</v>
      </c>
      <c r="C34" s="284">
        <v>400</v>
      </c>
      <c r="D34" s="284">
        <v>400</v>
      </c>
      <c r="E34" s="284">
        <f t="shared" si="4"/>
        <v>113.27</v>
      </c>
      <c r="F34" s="284"/>
      <c r="G34" s="284">
        <v>113.27</v>
      </c>
      <c r="H34" s="284"/>
      <c r="I34" s="284">
        <f t="shared" si="2"/>
        <v>28.317500000000003</v>
      </c>
      <c r="J34" s="284">
        <f t="shared" si="3"/>
        <v>28.317500000000003</v>
      </c>
    </row>
    <row r="35" spans="1:10" ht="23.25" customHeight="1">
      <c r="A35" s="286" t="s">
        <v>124</v>
      </c>
      <c r="B35" s="287" t="s">
        <v>158</v>
      </c>
      <c r="C35" s="284">
        <v>13381</v>
      </c>
      <c r="D35" s="284">
        <v>13451</v>
      </c>
      <c r="E35" s="284">
        <f t="shared" si="4"/>
        <v>13504.950879999999</v>
      </c>
      <c r="F35" s="284"/>
      <c r="G35" s="284">
        <v>13076.71028</v>
      </c>
      <c r="H35" s="284">
        <v>428.2406</v>
      </c>
      <c r="I35" s="284">
        <f t="shared" si="2"/>
        <v>100.92632000597861</v>
      </c>
      <c r="J35" s="284">
        <f t="shared" si="3"/>
        <v>100.40109196342277</v>
      </c>
    </row>
    <row r="36" spans="1:10" ht="23.25" customHeight="1">
      <c r="A36" s="286" t="s">
        <v>125</v>
      </c>
      <c r="B36" s="287" t="s">
        <v>159</v>
      </c>
      <c r="C36" s="284">
        <v>4203</v>
      </c>
      <c r="D36" s="284">
        <v>4549</v>
      </c>
      <c r="E36" s="284">
        <f t="shared" si="4"/>
        <v>7386.78983</v>
      </c>
      <c r="F36" s="284"/>
      <c r="G36" s="284">
        <v>1047.6</v>
      </c>
      <c r="H36" s="284">
        <v>6339.18983</v>
      </c>
      <c r="I36" s="284">
        <f t="shared" si="2"/>
        <v>175.7504123245301</v>
      </c>
      <c r="J36" s="284">
        <f t="shared" si="3"/>
        <v>162.38271774016266</v>
      </c>
    </row>
    <row r="37" spans="1:10" ht="23.25" customHeight="1">
      <c r="A37" s="286" t="s">
        <v>126</v>
      </c>
      <c r="B37" s="287" t="s">
        <v>160</v>
      </c>
      <c r="C37" s="284">
        <v>1744</v>
      </c>
      <c r="D37" s="284">
        <v>2532</v>
      </c>
      <c r="E37" s="284">
        <f t="shared" si="4"/>
        <v>3510.9453</v>
      </c>
      <c r="F37" s="284"/>
      <c r="G37" s="284">
        <v>2848.861</v>
      </c>
      <c r="H37" s="284">
        <v>662.0843</v>
      </c>
      <c r="I37" s="284">
        <f t="shared" si="2"/>
        <v>201.31567087155963</v>
      </c>
      <c r="J37" s="284">
        <f t="shared" si="3"/>
        <v>138.66292654028436</v>
      </c>
    </row>
    <row r="38" spans="1:10" ht="23.25" customHeight="1">
      <c r="A38" s="286" t="s">
        <v>127</v>
      </c>
      <c r="B38" s="287" t="s">
        <v>161</v>
      </c>
      <c r="C38" s="284">
        <v>1374</v>
      </c>
      <c r="D38" s="284">
        <v>3534</v>
      </c>
      <c r="E38" s="284">
        <f t="shared" si="4"/>
        <v>3790.164955</v>
      </c>
      <c r="F38" s="284"/>
      <c r="G38" s="284">
        <v>2131.678</v>
      </c>
      <c r="H38" s="284">
        <v>1658.486955</v>
      </c>
      <c r="I38" s="284">
        <f t="shared" si="2"/>
        <v>275.8489778020379</v>
      </c>
      <c r="J38" s="284">
        <f t="shared" si="3"/>
        <v>107.2485838992643</v>
      </c>
    </row>
    <row r="39" spans="1:10" ht="23.25" customHeight="1">
      <c r="A39" s="286" t="s">
        <v>128</v>
      </c>
      <c r="B39" s="287" t="s">
        <v>162</v>
      </c>
      <c r="C39" s="284">
        <v>10521</v>
      </c>
      <c r="D39" s="284">
        <v>10521</v>
      </c>
      <c r="E39" s="284">
        <f t="shared" si="4"/>
        <v>9297.391935</v>
      </c>
      <c r="F39" s="284"/>
      <c r="G39" s="284">
        <v>4044.106215</v>
      </c>
      <c r="H39" s="284">
        <v>5253.28572</v>
      </c>
      <c r="I39" s="284">
        <f t="shared" si="2"/>
        <v>88.3698501568292</v>
      </c>
      <c r="J39" s="284">
        <f t="shared" si="3"/>
        <v>88.3698501568292</v>
      </c>
    </row>
    <row r="40" spans="1:10" ht="23.25" customHeight="1">
      <c r="A40" s="286" t="s">
        <v>129</v>
      </c>
      <c r="B40" s="287" t="s">
        <v>113</v>
      </c>
      <c r="C40" s="284">
        <v>144944</v>
      </c>
      <c r="D40" s="284">
        <v>145256</v>
      </c>
      <c r="E40" s="284">
        <f t="shared" si="4"/>
        <v>132802.367867</v>
      </c>
      <c r="F40" s="284"/>
      <c r="G40" s="284">
        <v>64461.804686</v>
      </c>
      <c r="H40" s="284">
        <v>68340.563181</v>
      </c>
      <c r="I40" s="284">
        <f t="shared" si="2"/>
        <v>91.62322542982116</v>
      </c>
      <c r="J40" s="284">
        <f t="shared" si="3"/>
        <v>91.42642497865836</v>
      </c>
    </row>
    <row r="41" spans="1:10" ht="23.25" customHeight="1">
      <c r="A41" s="286" t="s">
        <v>130</v>
      </c>
      <c r="B41" s="287" t="s">
        <v>115</v>
      </c>
      <c r="C41" s="284">
        <v>130415</v>
      </c>
      <c r="D41" s="284">
        <v>140564</v>
      </c>
      <c r="E41" s="284">
        <f t="shared" si="4"/>
        <v>161209.285615</v>
      </c>
      <c r="F41" s="284"/>
      <c r="G41" s="284">
        <v>57578.777826</v>
      </c>
      <c r="H41" s="284">
        <v>103630.507789</v>
      </c>
      <c r="I41" s="284">
        <f t="shared" si="2"/>
        <v>123.61253353908677</v>
      </c>
      <c r="J41" s="284">
        <f t="shared" si="3"/>
        <v>114.68746308798839</v>
      </c>
    </row>
    <row r="42" spans="1:10" ht="23.25" customHeight="1">
      <c r="A42" s="286" t="s">
        <v>131</v>
      </c>
      <c r="B42" s="287" t="s">
        <v>164</v>
      </c>
      <c r="C42" s="284">
        <v>110038</v>
      </c>
      <c r="D42" s="284">
        <v>110038</v>
      </c>
      <c r="E42" s="284">
        <f t="shared" si="4"/>
        <v>114479.979189</v>
      </c>
      <c r="F42" s="284"/>
      <c r="G42" s="284">
        <v>94118.4394</v>
      </c>
      <c r="H42" s="284">
        <v>20361.539789</v>
      </c>
      <c r="I42" s="284">
        <f t="shared" si="2"/>
        <v>104.03676837910541</v>
      </c>
      <c r="J42" s="284">
        <f t="shared" si="3"/>
        <v>104.03676837910541</v>
      </c>
    </row>
    <row r="43" spans="1:10" ht="23.25" customHeight="1">
      <c r="A43" s="286" t="s">
        <v>132</v>
      </c>
      <c r="B43" s="287" t="s">
        <v>133</v>
      </c>
      <c r="C43" s="284">
        <v>2092</v>
      </c>
      <c r="D43" s="284">
        <v>2092</v>
      </c>
      <c r="E43" s="284">
        <f t="shared" si="4"/>
        <v>2135.9028</v>
      </c>
      <c r="F43" s="284"/>
      <c r="G43" s="284">
        <v>1065.55</v>
      </c>
      <c r="H43" s="284">
        <v>1070.3528</v>
      </c>
      <c r="I43" s="284">
        <f t="shared" si="2"/>
        <v>102.09860420650094</v>
      </c>
      <c r="J43" s="284">
        <f t="shared" si="3"/>
        <v>102.09860420650094</v>
      </c>
    </row>
    <row r="44" spans="1:10" ht="23.25" customHeight="1">
      <c r="A44" s="279" t="s">
        <v>72</v>
      </c>
      <c r="B44" s="280" t="s">
        <v>266</v>
      </c>
      <c r="C44" s="281"/>
      <c r="D44" s="281"/>
      <c r="E44" s="281">
        <f t="shared" si="4"/>
        <v>1326.0819999999999</v>
      </c>
      <c r="F44" s="284"/>
      <c r="G44" s="281">
        <v>1320.282</v>
      </c>
      <c r="H44" s="281">
        <v>5.8</v>
      </c>
      <c r="I44" s="284" t="e">
        <f t="shared" si="2"/>
        <v>#DIV/0!</v>
      </c>
      <c r="J44" s="284" t="e">
        <f t="shared" si="3"/>
        <v>#DIV/0!</v>
      </c>
    </row>
    <row r="45" spans="1:11" ht="23.25" customHeight="1">
      <c r="A45" s="279" t="s">
        <v>73</v>
      </c>
      <c r="B45" s="280" t="s">
        <v>134</v>
      </c>
      <c r="C45" s="281"/>
      <c r="D45" s="281"/>
      <c r="E45" s="281">
        <f t="shared" si="4"/>
        <v>862245.879243</v>
      </c>
      <c r="F45" s="284"/>
      <c r="G45" s="281">
        <v>798862.60754</v>
      </c>
      <c r="H45" s="281">
        <v>63383.271703</v>
      </c>
      <c r="I45" s="284"/>
      <c r="J45" s="284"/>
      <c r="K45" s="15">
        <f>323034.182518-G45</f>
        <v>-475828.425022</v>
      </c>
    </row>
    <row r="46" spans="1:10" ht="23.25" customHeight="1">
      <c r="A46" s="279" t="s">
        <v>215</v>
      </c>
      <c r="B46" s="280" t="s">
        <v>150</v>
      </c>
      <c r="C46" s="281">
        <v>10865</v>
      </c>
      <c r="D46" s="281">
        <v>10865</v>
      </c>
      <c r="E46" s="281">
        <f t="shared" si="4"/>
        <v>0</v>
      </c>
      <c r="F46" s="284"/>
      <c r="G46" s="284"/>
      <c r="H46" s="284"/>
      <c r="I46" s="284"/>
      <c r="J46" s="284"/>
    </row>
    <row r="47" spans="1:10" ht="23.25" customHeight="1">
      <c r="A47" s="279" t="s">
        <v>196</v>
      </c>
      <c r="B47" s="280" t="s">
        <v>246</v>
      </c>
      <c r="C47" s="281"/>
      <c r="D47" s="281"/>
      <c r="E47" s="281"/>
      <c r="F47" s="284"/>
      <c r="G47" s="284"/>
      <c r="H47" s="284"/>
      <c r="I47" s="284" t="e">
        <f>E47/C47*100</f>
        <v>#DIV/0!</v>
      </c>
      <c r="J47" s="284" t="e">
        <f>E47/D47*100</f>
        <v>#DIV/0!</v>
      </c>
    </row>
    <row r="48" spans="1:10" s="67" customFormat="1" ht="23.25" customHeight="1">
      <c r="A48" s="279" t="s">
        <v>197</v>
      </c>
      <c r="B48" s="280" t="s">
        <v>262</v>
      </c>
      <c r="C48" s="281"/>
      <c r="D48" s="281"/>
      <c r="E48" s="281"/>
      <c r="F48" s="284"/>
      <c r="G48" s="284"/>
      <c r="H48" s="284"/>
      <c r="I48" s="284"/>
      <c r="J48" s="284"/>
    </row>
    <row r="49" spans="1:10" s="67" customFormat="1" ht="23.25" customHeight="1">
      <c r="A49" s="279" t="s">
        <v>198</v>
      </c>
      <c r="B49" s="280" t="s">
        <v>263</v>
      </c>
      <c r="C49" s="281">
        <v>30789</v>
      </c>
      <c r="D49" s="281">
        <v>23456</v>
      </c>
      <c r="E49" s="281"/>
      <c r="F49" s="284"/>
      <c r="G49" s="284"/>
      <c r="H49" s="284"/>
      <c r="I49" s="284"/>
      <c r="J49" s="284"/>
    </row>
    <row r="50" spans="1:10" s="67" customFormat="1" ht="23.25" customHeight="1">
      <c r="A50" s="279" t="s">
        <v>199</v>
      </c>
      <c r="B50" s="280" t="s">
        <v>264</v>
      </c>
      <c r="C50" s="281"/>
      <c r="D50" s="281">
        <v>1104</v>
      </c>
      <c r="E50" s="281"/>
      <c r="F50" s="284"/>
      <c r="G50" s="284"/>
      <c r="H50" s="284"/>
      <c r="I50" s="284"/>
      <c r="J50" s="284"/>
    </row>
    <row r="51" spans="1:10" ht="23.25" customHeight="1">
      <c r="A51" s="279" t="s">
        <v>17</v>
      </c>
      <c r="B51" s="280" t="s">
        <v>135</v>
      </c>
      <c r="C51" s="281">
        <f>SUM(C52:C53)</f>
        <v>0</v>
      </c>
      <c r="D51" s="281">
        <f>SUM(D52:D53)</f>
        <v>193363</v>
      </c>
      <c r="E51" s="281">
        <f>SUM(E52:E53)</f>
        <v>377437.1089</v>
      </c>
      <c r="F51" s="281"/>
      <c r="G51" s="281">
        <f>SUM(G52:G53)</f>
        <v>377437.1089</v>
      </c>
      <c r="H51" s="281">
        <f>SUM(H52:H53)</f>
        <v>0</v>
      </c>
      <c r="I51" s="284"/>
      <c r="J51" s="284">
        <f>E51/D51*100</f>
        <v>195.19613829946783</v>
      </c>
    </row>
    <row r="52" spans="1:10" ht="23.25" customHeight="1">
      <c r="A52" s="286">
        <v>1</v>
      </c>
      <c r="B52" s="287" t="s">
        <v>136</v>
      </c>
      <c r="C52" s="284"/>
      <c r="D52" s="284">
        <v>90126</v>
      </c>
      <c r="E52" s="284">
        <f>F52+G52+H52</f>
        <v>90126</v>
      </c>
      <c r="F52" s="284"/>
      <c r="G52" s="284">
        <v>90126</v>
      </c>
      <c r="H52" s="284"/>
      <c r="I52" s="284"/>
      <c r="J52" s="284">
        <f>E52/D52*100</f>
        <v>100</v>
      </c>
    </row>
    <row r="53" spans="1:10" ht="23.25" customHeight="1">
      <c r="A53" s="286">
        <v>2</v>
      </c>
      <c r="B53" s="287" t="s">
        <v>91</v>
      </c>
      <c r="C53" s="284"/>
      <c r="D53" s="284">
        <v>103237</v>
      </c>
      <c r="E53" s="284">
        <f>F53+G53+H53</f>
        <v>287311.1089</v>
      </c>
      <c r="F53" s="284"/>
      <c r="G53" s="284">
        <v>287311.1089</v>
      </c>
      <c r="H53" s="284"/>
      <c r="I53" s="284"/>
      <c r="J53" s="284">
        <f>E53/D53*100</f>
        <v>278.3024583240505</v>
      </c>
    </row>
    <row r="54" spans="1:10" ht="23.25" customHeight="1">
      <c r="A54" s="283"/>
      <c r="B54" s="283" t="s">
        <v>137</v>
      </c>
      <c r="C54" s="288"/>
      <c r="D54" s="288"/>
      <c r="E54" s="284">
        <f>F54+G54+H54</f>
        <v>0</v>
      </c>
      <c r="F54" s="288"/>
      <c r="G54" s="288"/>
      <c r="H54" s="288"/>
      <c r="I54" s="288"/>
      <c r="J54" s="288"/>
    </row>
    <row r="55" spans="1:10" ht="23.25" customHeight="1">
      <c r="A55" s="283"/>
      <c r="B55" s="283" t="s">
        <v>138</v>
      </c>
      <c r="C55" s="288"/>
      <c r="D55" s="288"/>
      <c r="E55" s="284">
        <f>F55+G55+H55</f>
        <v>0</v>
      </c>
      <c r="F55" s="288"/>
      <c r="G55" s="288"/>
      <c r="H55" s="288"/>
      <c r="I55" s="288"/>
      <c r="J55" s="288"/>
    </row>
    <row r="56" spans="1:11" ht="23.25" customHeight="1">
      <c r="A56" s="272" t="s">
        <v>87</v>
      </c>
      <c r="B56" s="273" t="s">
        <v>139</v>
      </c>
      <c r="C56" s="274"/>
      <c r="D56" s="274"/>
      <c r="E56" s="275">
        <f>F56+G56+H56</f>
        <v>608521.168442</v>
      </c>
      <c r="F56" s="275"/>
      <c r="G56" s="275">
        <v>600024.167</v>
      </c>
      <c r="H56" s="275">
        <v>8497.001442</v>
      </c>
      <c r="I56" s="274"/>
      <c r="J56" s="274"/>
      <c r="K56" s="15">
        <f>64515.65632-G56</f>
        <v>-535508.5106800001</v>
      </c>
    </row>
    <row r="57" spans="1:11" ht="23.25" customHeight="1">
      <c r="A57" s="38"/>
      <c r="B57" s="36" t="s">
        <v>140</v>
      </c>
      <c r="C57" s="160">
        <f aca="true" t="shared" si="5" ref="C57:H57">C56+C51+C10</f>
        <v>1031072</v>
      </c>
      <c r="D57" s="160">
        <f t="shared" si="5"/>
        <v>1330059</v>
      </c>
      <c r="E57" s="160">
        <f t="shared" si="5"/>
        <v>2981190.526863</v>
      </c>
      <c r="F57" s="160">
        <f t="shared" si="5"/>
        <v>0</v>
      </c>
      <c r="G57" s="160">
        <f t="shared" si="5"/>
        <v>2550369.6782600004</v>
      </c>
      <c r="H57" s="160">
        <f t="shared" si="5"/>
        <v>430820.848603</v>
      </c>
      <c r="I57" s="160">
        <f>E57/C57*100</f>
        <v>289.1350484605343</v>
      </c>
      <c r="J57" s="160">
        <f>E57/D57*100</f>
        <v>224.13972063367115</v>
      </c>
      <c r="K57" s="17"/>
    </row>
    <row r="58" ht="15.75">
      <c r="A58" s="3"/>
    </row>
    <row r="59" ht="15.75" hidden="1">
      <c r="A59" s="4" t="s">
        <v>141</v>
      </c>
    </row>
    <row r="60" spans="1:10" ht="15.75" hidden="1">
      <c r="A60" s="4" t="s">
        <v>142</v>
      </c>
      <c r="B60"/>
      <c r="I60"/>
      <c r="J60"/>
    </row>
  </sheetData>
  <sheetProtection/>
  <mergeCells count="12">
    <mergeCell ref="C7:D7"/>
    <mergeCell ref="E7:H7"/>
    <mergeCell ref="I7:J7"/>
    <mergeCell ref="I6:J6"/>
    <mergeCell ref="A1:B1"/>
    <mergeCell ref="A2:B2"/>
    <mergeCell ref="A4:J4"/>
    <mergeCell ref="A7:A8"/>
    <mergeCell ref="H2:J3"/>
    <mergeCell ref="A5:J5"/>
    <mergeCell ref="H1:J1"/>
    <mergeCell ref="B7:B8"/>
  </mergeCells>
  <printOptions/>
  <pageMargins left="0.69" right="0.2" top="1.03" bottom="0.55" header="0.3" footer="0.32"/>
  <pageSetup horizontalDpi="600" verticalDpi="600" orientation="landscape" paperSize="9" scale="85" r:id="rId1"/>
  <headerFooter>
    <oddFooter>&amp;C&amp;14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57421875" style="67" customWidth="1"/>
    <col min="2" max="2" width="58.57421875" style="12" customWidth="1"/>
    <col min="3" max="3" width="14.140625" style="290" customWidth="1"/>
    <col min="4" max="4" width="12.7109375" style="306" customWidth="1"/>
    <col min="5" max="5" width="11.140625" style="12" customWidth="1"/>
    <col min="6" max="6" width="9.140625" style="67" customWidth="1"/>
    <col min="7" max="7" width="19.421875" style="67" customWidth="1"/>
    <col min="8" max="16384" width="9.140625" style="67" customWidth="1"/>
  </cols>
  <sheetData>
    <row r="1" spans="1:5" s="2" customFormat="1" ht="15.75">
      <c r="A1" s="366" t="s">
        <v>220</v>
      </c>
      <c r="B1" s="366"/>
      <c r="C1" s="289"/>
      <c r="D1" s="395" t="s">
        <v>322</v>
      </c>
      <c r="E1" s="395"/>
    </row>
    <row r="2" spans="1:5" s="2" customFormat="1" ht="15.75" customHeight="1">
      <c r="A2" s="367" t="s">
        <v>227</v>
      </c>
      <c r="B2" s="367"/>
      <c r="C2" s="46"/>
      <c r="D2" s="305"/>
      <c r="E2" s="219"/>
    </row>
    <row r="3" spans="1:5" s="2" customFormat="1" ht="15.75">
      <c r="A3" s="1"/>
      <c r="B3" s="12"/>
      <c r="C3" s="290"/>
      <c r="D3" s="306"/>
      <c r="E3" s="12"/>
    </row>
    <row r="4" spans="1:5" ht="18.75">
      <c r="A4" s="396" t="s">
        <v>328</v>
      </c>
      <c r="B4" s="396"/>
      <c r="C4" s="396"/>
      <c r="D4" s="396"/>
      <c r="E4" s="396"/>
    </row>
    <row r="5" spans="1:10" ht="18.75">
      <c r="A5" s="388" t="s">
        <v>301</v>
      </c>
      <c r="B5" s="388"/>
      <c r="C5" s="388"/>
      <c r="D5" s="388"/>
      <c r="E5" s="388"/>
      <c r="F5" s="323"/>
      <c r="G5" s="323"/>
      <c r="H5" s="323"/>
      <c r="I5" s="323"/>
      <c r="J5" s="323"/>
    </row>
    <row r="6" spans="4:5" ht="15">
      <c r="D6" s="397" t="s">
        <v>257</v>
      </c>
      <c r="E6" s="397"/>
    </row>
    <row r="7" spans="1:5" ht="15.75" customHeight="1">
      <c r="A7" s="385" t="s">
        <v>7</v>
      </c>
      <c r="B7" s="385" t="s">
        <v>98</v>
      </c>
      <c r="C7" s="389" t="s">
        <v>148</v>
      </c>
      <c r="D7" s="391" t="s">
        <v>149</v>
      </c>
      <c r="E7" s="393" t="s">
        <v>151</v>
      </c>
    </row>
    <row r="8" spans="1:5" ht="25.5" customHeight="1">
      <c r="A8" s="385"/>
      <c r="B8" s="385"/>
      <c r="C8" s="390"/>
      <c r="D8" s="392"/>
      <c r="E8" s="394"/>
    </row>
    <row r="9" spans="1:5" s="45" customFormat="1" ht="21" customHeight="1">
      <c r="A9" s="271" t="s">
        <v>16</v>
      </c>
      <c r="B9" s="271" t="s">
        <v>17</v>
      </c>
      <c r="C9" s="291" t="s">
        <v>250</v>
      </c>
      <c r="D9" s="307" t="s">
        <v>251</v>
      </c>
      <c r="E9" s="271" t="s">
        <v>155</v>
      </c>
    </row>
    <row r="10" spans="1:7" s="294" customFormat="1" ht="21" customHeight="1">
      <c r="A10" s="292"/>
      <c r="B10" s="292" t="s">
        <v>323</v>
      </c>
      <c r="C10" s="218">
        <f>+C11+C12</f>
        <v>1125596</v>
      </c>
      <c r="D10" s="160">
        <f>+D11+D12</f>
        <v>2550369.69282</v>
      </c>
      <c r="E10" s="293">
        <f>D10/C10</f>
        <v>2.2657949147118503</v>
      </c>
      <c r="G10" s="310">
        <f>C10-1125596</f>
        <v>0</v>
      </c>
    </row>
    <row r="11" spans="1:5" s="297" customFormat="1" ht="21" customHeight="1">
      <c r="A11" s="295" t="s">
        <v>16</v>
      </c>
      <c r="B11" s="296" t="s">
        <v>324</v>
      </c>
      <c r="C11" s="218">
        <f>'Biêu 96'!C31</f>
        <v>193363</v>
      </c>
      <c r="D11" s="160">
        <v>377437.1</v>
      </c>
      <c r="E11" s="293">
        <f>D11/C11</f>
        <v>1.9519613369672584</v>
      </c>
    </row>
    <row r="12" spans="1:5" s="297" customFormat="1" ht="21" customHeight="1">
      <c r="A12" s="295" t="s">
        <v>17</v>
      </c>
      <c r="B12" s="296" t="s">
        <v>325</v>
      </c>
      <c r="C12" s="160">
        <f>+C13+C31+C32+C46+C47+C48+C49+C50</f>
        <v>932233</v>
      </c>
      <c r="D12" s="160">
        <f>+D13+D31+D32+D46+D47+D48+D50</f>
        <v>2172932.59282</v>
      </c>
      <c r="E12" s="293">
        <f>D12/C12</f>
        <v>2.3308900165731097</v>
      </c>
    </row>
    <row r="13" spans="1:5" ht="23.25" customHeight="1">
      <c r="A13" s="220" t="s">
        <v>86</v>
      </c>
      <c r="B13" s="6" t="s">
        <v>105</v>
      </c>
      <c r="C13" s="308">
        <f>C14+C29</f>
        <v>289692</v>
      </c>
      <c r="D13" s="308">
        <f>D14+D29</f>
        <v>234720.43984099998</v>
      </c>
      <c r="E13" s="293">
        <f>D13/C13</f>
        <v>0.8102413592401585</v>
      </c>
    </row>
    <row r="14" spans="1:7" ht="23.25" customHeight="1">
      <c r="A14" s="220">
        <v>1</v>
      </c>
      <c r="B14" s="6" t="s">
        <v>106</v>
      </c>
      <c r="C14" s="308">
        <f>SUM(C16:C28)</f>
        <v>289692</v>
      </c>
      <c r="D14" s="308">
        <f>SUM(D16:D28)</f>
        <v>234720.43984099998</v>
      </c>
      <c r="E14" s="299">
        <f>+D14/C14</f>
        <v>0.8102413592401585</v>
      </c>
      <c r="G14" s="312">
        <f>C14-289692</f>
        <v>0</v>
      </c>
    </row>
    <row r="15" spans="1:5" s="13" customFormat="1" ht="23.25" customHeight="1">
      <c r="A15" s="37"/>
      <c r="B15" s="5" t="s">
        <v>225</v>
      </c>
      <c r="C15" s="300"/>
      <c r="D15" s="162"/>
      <c r="E15" s="301"/>
    </row>
    <row r="16" spans="1:5" ht="23.25" customHeight="1">
      <c r="A16" s="217" t="s">
        <v>56</v>
      </c>
      <c r="B16" s="39" t="s">
        <v>107</v>
      </c>
      <c r="C16" s="302">
        <f>'Bieu 98'!D14</f>
        <v>0</v>
      </c>
      <c r="D16" s="161">
        <v>1160.392</v>
      </c>
      <c r="E16" s="303"/>
    </row>
    <row r="17" spans="1:5" ht="23.25" customHeight="1">
      <c r="A17" s="217" t="s">
        <v>57</v>
      </c>
      <c r="B17" s="39" t="s">
        <v>108</v>
      </c>
      <c r="C17" s="302">
        <f>'Bieu 98'!D15</f>
        <v>3500</v>
      </c>
      <c r="D17" s="161">
        <v>7945.266</v>
      </c>
      <c r="E17" s="303">
        <f>+D17/C17</f>
        <v>2.270076</v>
      </c>
    </row>
    <row r="18" spans="1:5" ht="23.25" customHeight="1">
      <c r="A18" s="217" t="s">
        <v>58</v>
      </c>
      <c r="B18" s="39" t="s">
        <v>156</v>
      </c>
      <c r="C18" s="302">
        <f>'Bieu 98'!D16</f>
        <v>13704.13</v>
      </c>
      <c r="D18" s="161">
        <v>25887.140956</v>
      </c>
      <c r="E18" s="303">
        <f>+D18/C18</f>
        <v>1.889002874024108</v>
      </c>
    </row>
    <row r="19" spans="1:5" ht="23.25" customHeight="1">
      <c r="A19" s="217" t="s">
        <v>59</v>
      </c>
      <c r="B19" s="39" t="s">
        <v>157</v>
      </c>
      <c r="C19" s="302"/>
      <c r="D19" s="161"/>
      <c r="E19" s="303"/>
    </row>
    <row r="20" spans="1:5" ht="23.25" customHeight="1">
      <c r="A20" s="217" t="s">
        <v>60</v>
      </c>
      <c r="B20" s="39" t="s">
        <v>158</v>
      </c>
      <c r="C20" s="302">
        <f>'Bieu 98'!D18</f>
        <v>1300</v>
      </c>
      <c r="D20" s="161">
        <v>108.205</v>
      </c>
      <c r="E20" s="303">
        <f>+D20/C20</f>
        <v>0.08323461538461538</v>
      </c>
    </row>
    <row r="21" spans="1:5" ht="23.25" customHeight="1">
      <c r="A21" s="217" t="s">
        <v>61</v>
      </c>
      <c r="B21" s="39" t="s">
        <v>159</v>
      </c>
      <c r="C21" s="302">
        <f>'Bieu 98'!D19</f>
        <v>32920</v>
      </c>
      <c r="D21" s="161">
        <v>14442.164334</v>
      </c>
      <c r="E21" s="303">
        <f>+D21/C21</f>
        <v>0.43870487041312267</v>
      </c>
    </row>
    <row r="22" spans="1:5" ht="23.25" customHeight="1">
      <c r="A22" s="217" t="s">
        <v>109</v>
      </c>
      <c r="B22" s="39" t="s">
        <v>160</v>
      </c>
      <c r="C22" s="302"/>
      <c r="D22" s="161"/>
      <c r="E22" s="303"/>
    </row>
    <row r="23" spans="1:5" ht="23.25" customHeight="1">
      <c r="A23" s="217" t="s">
        <v>110</v>
      </c>
      <c r="B23" s="39" t="s">
        <v>161</v>
      </c>
      <c r="C23" s="302">
        <f>'Bieu 98'!D21</f>
        <v>3711</v>
      </c>
      <c r="D23" s="161">
        <v>15482.983</v>
      </c>
      <c r="E23" s="303">
        <f>+D23/C23</f>
        <v>4.172186203179736</v>
      </c>
    </row>
    <row r="24" spans="1:5" ht="23.25" customHeight="1">
      <c r="A24" s="217" t="s">
        <v>111</v>
      </c>
      <c r="B24" s="39" t="s">
        <v>162</v>
      </c>
      <c r="C24" s="302">
        <f>'Bieu 98'!D22</f>
        <v>650</v>
      </c>
      <c r="D24" s="161">
        <v>327.837</v>
      </c>
      <c r="E24" s="303">
        <f>+D24/C24</f>
        <v>0.5043646153846154</v>
      </c>
    </row>
    <row r="25" spans="1:5" ht="23.25" customHeight="1">
      <c r="A25" s="217" t="s">
        <v>112</v>
      </c>
      <c r="B25" s="39" t="s">
        <v>326</v>
      </c>
      <c r="C25" s="302">
        <f>'Bieu 98'!D23-35971</f>
        <v>223256.87</v>
      </c>
      <c r="D25" s="161">
        <v>157586.205551</v>
      </c>
      <c r="E25" s="303">
        <f>+D25/C25</f>
        <v>0.7058515402056832</v>
      </c>
    </row>
    <row r="26" spans="1:5" ht="23.25" customHeight="1">
      <c r="A26" s="217" t="s">
        <v>114</v>
      </c>
      <c r="B26" s="39" t="s">
        <v>115</v>
      </c>
      <c r="C26" s="302">
        <f>'Bieu 98'!D24</f>
        <v>10650</v>
      </c>
      <c r="D26" s="161">
        <v>10242.433</v>
      </c>
      <c r="E26" s="303">
        <f>+D26/C26</f>
        <v>0.9617307981220659</v>
      </c>
    </row>
    <row r="27" spans="1:5" ht="23.25" customHeight="1">
      <c r="A27" s="217" t="s">
        <v>116</v>
      </c>
      <c r="B27" s="39" t="s">
        <v>164</v>
      </c>
      <c r="C27" s="302">
        <f>'Bieu 98'!D25</f>
        <v>0</v>
      </c>
      <c r="D27" s="161">
        <v>1537.813</v>
      </c>
      <c r="E27" s="303"/>
    </row>
    <row r="28" spans="1:5" ht="23.25" customHeight="1">
      <c r="A28" s="217" t="s">
        <v>117</v>
      </c>
      <c r="B28" s="39" t="s">
        <v>118</v>
      </c>
      <c r="C28" s="302"/>
      <c r="D28" s="161"/>
      <c r="E28" s="303"/>
    </row>
    <row r="29" spans="1:5" ht="33.75" customHeight="1">
      <c r="A29" s="220">
        <v>2</v>
      </c>
      <c r="B29" s="6" t="s">
        <v>206</v>
      </c>
      <c r="C29" s="298"/>
      <c r="D29" s="308">
        <v>0</v>
      </c>
      <c r="E29" s="299"/>
    </row>
    <row r="30" spans="1:5" ht="23.25" customHeight="1">
      <c r="A30" s="220">
        <v>3</v>
      </c>
      <c r="B30" s="6" t="s">
        <v>119</v>
      </c>
      <c r="C30" s="298"/>
      <c r="D30" s="308">
        <v>0</v>
      </c>
      <c r="E30" s="299"/>
    </row>
    <row r="31" spans="1:5" ht="23.25" customHeight="1">
      <c r="A31" s="220" t="s">
        <v>55</v>
      </c>
      <c r="B31" s="6" t="s">
        <v>120</v>
      </c>
      <c r="C31" s="298"/>
      <c r="D31" s="308">
        <v>0</v>
      </c>
      <c r="E31" s="299"/>
    </row>
    <row r="32" spans="1:5" ht="23.25" customHeight="1">
      <c r="A32" s="220" t="s">
        <v>63</v>
      </c>
      <c r="B32" s="6" t="s">
        <v>121</v>
      </c>
      <c r="C32" s="304">
        <f>SUM(C33:C45)</f>
        <v>610043</v>
      </c>
      <c r="D32" s="304">
        <f>SUM(D33:D45)</f>
        <v>538005.072979</v>
      </c>
      <c r="E32" s="293">
        <f aca="true" t="shared" si="0" ref="E32:E45">D32/C32</f>
        <v>0.881913361810561</v>
      </c>
    </row>
    <row r="33" spans="1:5" ht="23.25" customHeight="1">
      <c r="A33" s="217" t="s">
        <v>81</v>
      </c>
      <c r="B33" s="39" t="s">
        <v>107</v>
      </c>
      <c r="C33" s="302">
        <v>8551</v>
      </c>
      <c r="D33" s="161">
        <v>8775.0854</v>
      </c>
      <c r="E33" s="311">
        <f t="shared" si="0"/>
        <v>1.026205753713016</v>
      </c>
    </row>
    <row r="34" spans="1:5" ht="23.25" customHeight="1">
      <c r="A34" s="217" t="s">
        <v>83</v>
      </c>
      <c r="B34" s="39" t="s">
        <v>108</v>
      </c>
      <c r="C34" s="302">
        <v>721</v>
      </c>
      <c r="D34" s="161">
        <v>3206.589</v>
      </c>
      <c r="E34" s="311">
        <f t="shared" si="0"/>
        <v>4.447418862690707</v>
      </c>
    </row>
    <row r="35" spans="1:5" ht="23.25" customHeight="1">
      <c r="A35" s="217" t="s">
        <v>122</v>
      </c>
      <c r="B35" s="39" t="s">
        <v>327</v>
      </c>
      <c r="C35" s="302">
        <v>327681</v>
      </c>
      <c r="D35" s="161">
        <v>285536.601172</v>
      </c>
      <c r="E35" s="311">
        <f t="shared" si="0"/>
        <v>0.8713858941226376</v>
      </c>
    </row>
    <row r="36" spans="1:5" ht="23.25" customHeight="1">
      <c r="A36" s="217" t="s">
        <v>123</v>
      </c>
      <c r="B36" s="39" t="s">
        <v>157</v>
      </c>
      <c r="C36" s="302">
        <v>400</v>
      </c>
      <c r="D36" s="161">
        <v>113.27</v>
      </c>
      <c r="E36" s="311">
        <f t="shared" si="0"/>
        <v>0.283175</v>
      </c>
    </row>
    <row r="37" spans="1:5" ht="23.25" customHeight="1">
      <c r="A37" s="217" t="s">
        <v>124</v>
      </c>
      <c r="B37" s="39" t="s">
        <v>158</v>
      </c>
      <c r="C37" s="302">
        <v>13051</v>
      </c>
      <c r="D37" s="161">
        <v>13076.71028</v>
      </c>
      <c r="E37" s="311">
        <f t="shared" si="0"/>
        <v>1.0019699854417286</v>
      </c>
    </row>
    <row r="38" spans="1:5" ht="23.25" customHeight="1">
      <c r="A38" s="217" t="s">
        <v>125</v>
      </c>
      <c r="B38" s="39" t="s">
        <v>159</v>
      </c>
      <c r="C38" s="302">
        <v>2296</v>
      </c>
      <c r="D38" s="161">
        <v>1047.6</v>
      </c>
      <c r="E38" s="311">
        <f t="shared" si="0"/>
        <v>0.45627177700348426</v>
      </c>
    </row>
    <row r="39" spans="1:5" ht="23.25" customHeight="1">
      <c r="A39" s="217" t="s">
        <v>126</v>
      </c>
      <c r="B39" s="39" t="s">
        <v>160</v>
      </c>
      <c r="C39" s="302">
        <v>1936</v>
      </c>
      <c r="D39" s="161">
        <v>2848.861</v>
      </c>
      <c r="E39" s="311">
        <f t="shared" si="0"/>
        <v>1.471519111570248</v>
      </c>
    </row>
    <row r="40" spans="1:5" ht="23.25" customHeight="1">
      <c r="A40" s="217" t="s">
        <v>127</v>
      </c>
      <c r="B40" s="39" t="s">
        <v>161</v>
      </c>
      <c r="C40" s="302">
        <v>2090</v>
      </c>
      <c r="D40" s="161">
        <v>2131.678</v>
      </c>
      <c r="E40" s="311">
        <f t="shared" si="0"/>
        <v>1.0199416267942583</v>
      </c>
    </row>
    <row r="41" spans="1:5" ht="23.25" customHeight="1">
      <c r="A41" s="217" t="s">
        <v>128</v>
      </c>
      <c r="B41" s="39" t="s">
        <v>162</v>
      </c>
      <c r="C41" s="302">
        <v>5691</v>
      </c>
      <c r="D41" s="161">
        <v>4044.106215</v>
      </c>
      <c r="E41" s="311">
        <f t="shared" si="0"/>
        <v>0.7106143410648392</v>
      </c>
    </row>
    <row r="42" spans="1:5" ht="23.25" customHeight="1">
      <c r="A42" s="217" t="s">
        <v>129</v>
      </c>
      <c r="B42" s="39" t="s">
        <v>113</v>
      </c>
      <c r="C42" s="302">
        <v>100450</v>
      </c>
      <c r="D42" s="161">
        <v>64461.804686</v>
      </c>
      <c r="E42" s="311">
        <f t="shared" si="0"/>
        <v>0.641730260686909</v>
      </c>
    </row>
    <row r="43" spans="1:5" ht="23.25" customHeight="1">
      <c r="A43" s="217" t="s">
        <v>130</v>
      </c>
      <c r="B43" s="39" t="s">
        <v>115</v>
      </c>
      <c r="C43" s="302">
        <v>43196</v>
      </c>
      <c r="D43" s="161">
        <v>57578.777826</v>
      </c>
      <c r="E43" s="311">
        <f t="shared" si="0"/>
        <v>1.3329655020372255</v>
      </c>
    </row>
    <row r="44" spans="1:5" ht="23.25" customHeight="1">
      <c r="A44" s="217" t="s">
        <v>131</v>
      </c>
      <c r="B44" s="39" t="s">
        <v>164</v>
      </c>
      <c r="C44" s="302">
        <v>102342</v>
      </c>
      <c r="D44" s="161">
        <v>94118.4394</v>
      </c>
      <c r="E44" s="311">
        <f t="shared" si="0"/>
        <v>0.9196462781653671</v>
      </c>
    </row>
    <row r="45" spans="1:5" ht="23.25" customHeight="1">
      <c r="A45" s="217" t="s">
        <v>132</v>
      </c>
      <c r="B45" s="39" t="s">
        <v>133</v>
      </c>
      <c r="C45" s="302">
        <v>1638</v>
      </c>
      <c r="D45" s="161">
        <v>1065.55</v>
      </c>
      <c r="E45" s="311">
        <f t="shared" si="0"/>
        <v>0.6505189255189255</v>
      </c>
    </row>
    <row r="46" spans="1:5" ht="23.25" customHeight="1">
      <c r="A46" s="220" t="s">
        <v>72</v>
      </c>
      <c r="B46" s="6" t="s">
        <v>320</v>
      </c>
      <c r="C46" s="298"/>
      <c r="D46" s="308">
        <v>1320.28</v>
      </c>
      <c r="E46" s="293"/>
    </row>
    <row r="47" spans="1:5" ht="23.25" customHeight="1">
      <c r="A47" s="220" t="s">
        <v>73</v>
      </c>
      <c r="B47" s="6" t="s">
        <v>316</v>
      </c>
      <c r="C47" s="298"/>
      <c r="D47" s="308">
        <v>798862.6</v>
      </c>
      <c r="E47" s="293"/>
    </row>
    <row r="48" spans="1:5" ht="23.25" customHeight="1">
      <c r="A48" s="220" t="s">
        <v>215</v>
      </c>
      <c r="B48" s="6" t="s">
        <v>150</v>
      </c>
      <c r="C48" s="298">
        <v>9042</v>
      </c>
      <c r="D48" s="308">
        <v>0</v>
      </c>
      <c r="E48" s="299"/>
    </row>
    <row r="49" spans="1:5" ht="23.25" customHeight="1">
      <c r="A49" s="220" t="s">
        <v>331</v>
      </c>
      <c r="B49" s="6" t="s">
        <v>330</v>
      </c>
      <c r="C49" s="298">
        <v>23456</v>
      </c>
      <c r="D49" s="308"/>
      <c r="E49" s="299"/>
    </row>
    <row r="50" spans="1:5" ht="23.25" customHeight="1">
      <c r="A50" s="220" t="s">
        <v>196</v>
      </c>
      <c r="B50" s="6" t="s">
        <v>329</v>
      </c>
      <c r="C50" s="298"/>
      <c r="D50" s="308">
        <v>600024.2</v>
      </c>
      <c r="E50" s="299"/>
    </row>
    <row r="51" ht="15.75">
      <c r="A51" s="3"/>
    </row>
    <row r="52" ht="15.75" hidden="1">
      <c r="A52" s="4" t="s">
        <v>141</v>
      </c>
    </row>
    <row r="53" spans="1:5" ht="15.75" hidden="1">
      <c r="A53" s="4" t="s">
        <v>142</v>
      </c>
      <c r="B53" s="67"/>
      <c r="C53" s="165"/>
      <c r="D53" s="309"/>
      <c r="E53" s="67"/>
    </row>
  </sheetData>
  <sheetProtection/>
  <mergeCells count="11">
    <mergeCell ref="D6:E6"/>
    <mergeCell ref="A7:A8"/>
    <mergeCell ref="B7:B8"/>
    <mergeCell ref="C7:C8"/>
    <mergeCell ref="D7:D8"/>
    <mergeCell ref="E7:E8"/>
    <mergeCell ref="A1:B1"/>
    <mergeCell ref="D1:E1"/>
    <mergeCell ref="A2:B2"/>
    <mergeCell ref="A4:E4"/>
    <mergeCell ref="A5:E5"/>
  </mergeCells>
  <printOptions/>
  <pageMargins left="0.99" right="0.29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31"/>
  <sheetViews>
    <sheetView zoomScalePageLayoutView="0" workbookViewId="0" topLeftCell="K70">
      <selection activeCell="R8" sqref="R8:T8"/>
    </sheetView>
  </sheetViews>
  <sheetFormatPr defaultColWidth="12.421875" defaultRowHeight="15"/>
  <cols>
    <col min="1" max="1" width="4.421875" style="61" customWidth="1"/>
    <col min="2" max="2" width="26.28125" style="61" customWidth="1"/>
    <col min="3" max="3" width="9.7109375" style="325" customWidth="1"/>
    <col min="4" max="4" width="8.7109375" style="325" customWidth="1"/>
    <col min="5" max="5" width="9.8515625" style="325" customWidth="1"/>
    <col min="6" max="8" width="8.28125" style="325" customWidth="1"/>
    <col min="9" max="9" width="12.8515625" style="325" customWidth="1"/>
    <col min="10" max="10" width="11.57421875" style="325" customWidth="1"/>
    <col min="11" max="11" width="11.8515625" style="325" customWidth="1"/>
    <col min="12" max="12" width="9.8515625" style="325" customWidth="1"/>
    <col min="13" max="14" width="10.28125" style="325" customWidth="1"/>
    <col min="15" max="15" width="13.140625" style="325" customWidth="1"/>
    <col min="16" max="17" width="11.00390625" style="325" customWidth="1"/>
    <col min="18" max="18" width="10.421875" style="325" customWidth="1"/>
    <col min="19" max="19" width="9.28125" style="325" customWidth="1"/>
    <col min="20" max="20" width="10.28125" style="325" customWidth="1"/>
    <col min="21" max="21" width="11.7109375" style="325" customWidth="1"/>
    <col min="22" max="22" width="9.00390625" style="325" customWidth="1"/>
    <col min="23" max="23" width="8.140625" style="325" customWidth="1"/>
    <col min="24" max="24" width="10.8515625" style="325" customWidth="1"/>
    <col min="25" max="25" width="8.140625" style="325" customWidth="1"/>
    <col min="26" max="26" width="7.28125" style="27" customWidth="1"/>
    <col min="27" max="27" width="7.7109375" style="325" customWidth="1"/>
    <col min="28" max="28" width="15.7109375" style="61" customWidth="1"/>
    <col min="29" max="29" width="17.57421875" style="61" bestFit="1" customWidth="1"/>
    <col min="30" max="31" width="12.57421875" style="61" bestFit="1" customWidth="1"/>
    <col min="32" max="16384" width="12.421875" style="61" customWidth="1"/>
  </cols>
  <sheetData>
    <row r="1" spans="1:27" ht="19.5" customHeight="1">
      <c r="A1" s="398" t="s">
        <v>220</v>
      </c>
      <c r="B1" s="398"/>
      <c r="C1" s="324"/>
      <c r="D1" s="56"/>
      <c r="E1" s="56"/>
      <c r="F1" s="56"/>
      <c r="W1" s="395" t="s">
        <v>438</v>
      </c>
      <c r="X1" s="395"/>
      <c r="Y1" s="395"/>
      <c r="Z1" s="395"/>
      <c r="AA1" s="395"/>
    </row>
    <row r="2" spans="1:27" ht="19.5" customHeight="1">
      <c r="A2" s="398" t="s">
        <v>227</v>
      </c>
      <c r="B2" s="399"/>
      <c r="C2" s="324"/>
      <c r="D2" s="56"/>
      <c r="E2" s="56"/>
      <c r="F2" s="56"/>
      <c r="W2" s="400"/>
      <c r="X2" s="400"/>
      <c r="Y2" s="400"/>
      <c r="Z2" s="400"/>
      <c r="AA2" s="400"/>
    </row>
    <row r="3" spans="3:27" ht="18" customHeight="1">
      <c r="C3" s="324"/>
      <c r="D3" s="56"/>
      <c r="E3" s="56"/>
      <c r="F3" s="56"/>
      <c r="W3" s="400"/>
      <c r="X3" s="400"/>
      <c r="Y3" s="400"/>
      <c r="Z3" s="400"/>
      <c r="AA3" s="400"/>
    </row>
    <row r="4" spans="1:26" ht="16.5" customHeight="1">
      <c r="A4" s="403" t="s">
        <v>332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1:27" ht="24.75" customHeight="1">
      <c r="A5" s="388" t="s">
        <v>301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</row>
    <row r="6" ht="15.75">
      <c r="Z6" s="326" t="s">
        <v>145</v>
      </c>
    </row>
    <row r="7" spans="1:27" ht="22.5" customHeight="1">
      <c r="A7" s="401" t="s">
        <v>7</v>
      </c>
      <c r="B7" s="401" t="s">
        <v>166</v>
      </c>
      <c r="C7" s="402" t="s">
        <v>217</v>
      </c>
      <c r="D7" s="402"/>
      <c r="E7" s="402"/>
      <c r="F7" s="402"/>
      <c r="G7" s="402"/>
      <c r="H7" s="402"/>
      <c r="I7" s="406" t="s">
        <v>333</v>
      </c>
      <c r="J7" s="406"/>
      <c r="K7" s="406"/>
      <c r="L7" s="406"/>
      <c r="M7" s="406"/>
      <c r="N7" s="406"/>
      <c r="O7" s="402" t="s">
        <v>149</v>
      </c>
      <c r="P7" s="402"/>
      <c r="Q7" s="402"/>
      <c r="R7" s="402"/>
      <c r="S7" s="402"/>
      <c r="T7" s="402"/>
      <c r="U7" s="402"/>
      <c r="V7" s="402" t="s">
        <v>151</v>
      </c>
      <c r="W7" s="402"/>
      <c r="X7" s="402"/>
      <c r="Y7" s="402"/>
      <c r="Z7" s="402"/>
      <c r="AA7" s="402"/>
    </row>
    <row r="8" spans="1:27" ht="33" customHeight="1">
      <c r="A8" s="401"/>
      <c r="B8" s="401"/>
      <c r="C8" s="402" t="s">
        <v>1</v>
      </c>
      <c r="D8" s="402" t="s">
        <v>334</v>
      </c>
      <c r="E8" s="402" t="s">
        <v>335</v>
      </c>
      <c r="F8" s="402" t="s">
        <v>336</v>
      </c>
      <c r="G8" s="402"/>
      <c r="H8" s="402"/>
      <c r="I8" s="402" t="s">
        <v>1</v>
      </c>
      <c r="J8" s="402" t="s">
        <v>334</v>
      </c>
      <c r="K8" s="402" t="s">
        <v>335</v>
      </c>
      <c r="L8" s="402" t="s">
        <v>336</v>
      </c>
      <c r="M8" s="402"/>
      <c r="N8" s="402"/>
      <c r="O8" s="402" t="s">
        <v>1</v>
      </c>
      <c r="P8" s="402" t="s">
        <v>334</v>
      </c>
      <c r="Q8" s="402" t="s">
        <v>335</v>
      </c>
      <c r="R8" s="402" t="s">
        <v>336</v>
      </c>
      <c r="S8" s="402"/>
      <c r="T8" s="402"/>
      <c r="U8" s="402" t="s">
        <v>337</v>
      </c>
      <c r="V8" s="402" t="s">
        <v>1</v>
      </c>
      <c r="W8" s="402" t="s">
        <v>105</v>
      </c>
      <c r="X8" s="402" t="s">
        <v>335</v>
      </c>
      <c r="Y8" s="402" t="s">
        <v>336</v>
      </c>
      <c r="Z8" s="402"/>
      <c r="AA8" s="402"/>
    </row>
    <row r="9" spans="1:28" ht="114" customHeight="1">
      <c r="A9" s="401"/>
      <c r="B9" s="401"/>
      <c r="C9" s="402"/>
      <c r="D9" s="402"/>
      <c r="E9" s="402"/>
      <c r="F9" s="221" t="s">
        <v>1</v>
      </c>
      <c r="G9" s="221" t="s">
        <v>105</v>
      </c>
      <c r="H9" s="221" t="s">
        <v>121</v>
      </c>
      <c r="I9" s="402"/>
      <c r="J9" s="402"/>
      <c r="K9" s="402"/>
      <c r="L9" s="221" t="s">
        <v>1</v>
      </c>
      <c r="M9" s="221" t="s">
        <v>105</v>
      </c>
      <c r="N9" s="221" t="s">
        <v>121</v>
      </c>
      <c r="O9" s="402"/>
      <c r="P9" s="402"/>
      <c r="Q9" s="402"/>
      <c r="R9" s="221" t="s">
        <v>1</v>
      </c>
      <c r="S9" s="221" t="s">
        <v>105</v>
      </c>
      <c r="T9" s="221" t="s">
        <v>121</v>
      </c>
      <c r="U9" s="402"/>
      <c r="V9" s="402"/>
      <c r="W9" s="402"/>
      <c r="X9" s="402"/>
      <c r="Y9" s="221" t="s">
        <v>1</v>
      </c>
      <c r="Z9" s="224" t="s">
        <v>105</v>
      </c>
      <c r="AA9" s="221" t="s">
        <v>121</v>
      </c>
      <c r="AB9" s="327">
        <f>Q12+T12</f>
        <v>538005.0730069999</v>
      </c>
    </row>
    <row r="10" spans="1:28" s="330" customFormat="1" ht="19.5" customHeight="1">
      <c r="A10" s="328" t="s">
        <v>16</v>
      </c>
      <c r="B10" s="328" t="s">
        <v>17</v>
      </c>
      <c r="C10" s="329">
        <v>1</v>
      </c>
      <c r="D10" s="329">
        <v>2</v>
      </c>
      <c r="E10" s="329">
        <v>3</v>
      </c>
      <c r="F10" s="329">
        <v>4</v>
      </c>
      <c r="G10" s="329">
        <v>5</v>
      </c>
      <c r="H10" s="329">
        <v>6</v>
      </c>
      <c r="I10" s="329">
        <v>7</v>
      </c>
      <c r="J10" s="329">
        <v>8</v>
      </c>
      <c r="K10" s="328">
        <v>9</v>
      </c>
      <c r="L10" s="328">
        <v>10</v>
      </c>
      <c r="M10" s="328">
        <v>11</v>
      </c>
      <c r="N10" s="328">
        <v>12</v>
      </c>
      <c r="O10" s="328">
        <v>13</v>
      </c>
      <c r="P10" s="328">
        <v>14</v>
      </c>
      <c r="Q10" s="328">
        <v>15</v>
      </c>
      <c r="R10" s="328">
        <v>16</v>
      </c>
      <c r="S10" s="328">
        <v>17</v>
      </c>
      <c r="T10" s="328">
        <v>18</v>
      </c>
      <c r="U10" s="328">
        <v>19</v>
      </c>
      <c r="V10" s="328">
        <v>20</v>
      </c>
      <c r="W10" s="328">
        <v>21</v>
      </c>
      <c r="X10" s="328">
        <v>22</v>
      </c>
      <c r="Y10" s="328">
        <v>23</v>
      </c>
      <c r="Z10" s="328">
        <v>24</v>
      </c>
      <c r="AA10" s="328">
        <v>25</v>
      </c>
      <c r="AB10" s="330">
        <f>538005.072979-AB9</f>
        <v>-2.799986395984888E-05</v>
      </c>
    </row>
    <row r="11" spans="1:28" s="63" customFormat="1" ht="25.5" customHeight="1">
      <c r="A11" s="404" t="s">
        <v>167</v>
      </c>
      <c r="B11" s="405"/>
      <c r="C11" s="331">
        <f aca="true" t="shared" si="0" ref="C11:W11">C12+C106+C107+C108+C129</f>
        <v>1010.159</v>
      </c>
      <c r="D11" s="331">
        <f t="shared" si="0"/>
        <v>0</v>
      </c>
      <c r="E11" s="331">
        <f t="shared" si="0"/>
        <v>639.771</v>
      </c>
      <c r="F11" s="331">
        <f t="shared" si="0"/>
        <v>370.388</v>
      </c>
      <c r="G11" s="331">
        <f t="shared" si="0"/>
        <v>0</v>
      </c>
      <c r="H11" s="331">
        <f t="shared" si="0"/>
        <v>370.388</v>
      </c>
      <c r="I11" s="331">
        <f t="shared" si="0"/>
        <v>1814666.343348</v>
      </c>
      <c r="J11" s="331">
        <f t="shared" si="0"/>
        <v>967759.095196</v>
      </c>
      <c r="K11" s="331">
        <f t="shared" si="0"/>
        <v>784988.7531519999</v>
      </c>
      <c r="L11" s="331">
        <f t="shared" si="0"/>
        <v>51053.494999999995</v>
      </c>
      <c r="M11" s="331">
        <f t="shared" si="0"/>
        <v>24110</v>
      </c>
      <c r="N11" s="331">
        <f t="shared" si="0"/>
        <v>26943.495</v>
      </c>
      <c r="O11" s="331">
        <f t="shared" si="0"/>
        <v>1204803.283876</v>
      </c>
      <c r="P11" s="331">
        <f t="shared" si="0"/>
        <v>358367.705082</v>
      </c>
      <c r="Q11" s="331">
        <f t="shared" si="0"/>
        <v>749115.422091</v>
      </c>
      <c r="R11" s="331">
        <f t="shared" si="0"/>
        <v>33936.885</v>
      </c>
      <c r="S11" s="331">
        <f t="shared" si="0"/>
        <v>9935.905999999999</v>
      </c>
      <c r="T11" s="331">
        <f t="shared" si="0"/>
        <v>24000.978999999996</v>
      </c>
      <c r="U11" s="331">
        <f t="shared" si="0"/>
        <v>862245.879243</v>
      </c>
      <c r="V11" s="331">
        <f t="shared" si="0"/>
        <v>2162.1446652932314</v>
      </c>
      <c r="W11" s="331">
        <f t="shared" si="0"/>
        <v>0.7095640522965547</v>
      </c>
      <c r="X11" s="331"/>
      <c r="Y11" s="331"/>
      <c r="Z11" s="332"/>
      <c r="AA11" s="331"/>
      <c r="AB11" s="333">
        <f>U12-798862.60754</f>
        <v>0</v>
      </c>
    </row>
    <row r="12" spans="1:31" s="63" customFormat="1" ht="36" customHeight="1">
      <c r="A12" s="203" t="s">
        <v>86</v>
      </c>
      <c r="B12" s="175" t="s">
        <v>338</v>
      </c>
      <c r="C12" s="206">
        <f aca="true" t="shared" si="1" ref="C12:P12">C13+C38</f>
        <v>1010.159</v>
      </c>
      <c r="D12" s="206">
        <f t="shared" si="1"/>
        <v>0</v>
      </c>
      <c r="E12" s="206">
        <f t="shared" si="1"/>
        <v>639.771</v>
      </c>
      <c r="F12" s="206">
        <f t="shared" si="1"/>
        <v>370.388</v>
      </c>
      <c r="G12" s="206">
        <f t="shared" si="1"/>
        <v>0</v>
      </c>
      <c r="H12" s="206">
        <f t="shared" si="1"/>
        <v>370.388</v>
      </c>
      <c r="I12" s="206">
        <f t="shared" si="1"/>
        <v>1369231.262312</v>
      </c>
      <c r="J12" s="206">
        <f t="shared" si="1"/>
        <v>796669.7115369999</v>
      </c>
      <c r="K12" s="206">
        <f t="shared" si="1"/>
        <v>554120.0507749999</v>
      </c>
      <c r="L12" s="206">
        <f t="shared" si="1"/>
        <v>18441.5</v>
      </c>
      <c r="M12" s="206">
        <f t="shared" si="1"/>
        <v>15530</v>
      </c>
      <c r="N12" s="206">
        <f>N13+N38</f>
        <v>2911.5</v>
      </c>
      <c r="O12" s="206">
        <f>O13+O38</f>
        <v>772725.512715</v>
      </c>
      <c r="P12" s="206">
        <f t="shared" si="1"/>
        <v>233335.119708</v>
      </c>
      <c r="Q12" s="206">
        <f>Q13+Q38</f>
        <v>537159.758007</v>
      </c>
      <c r="R12" s="206">
        <f aca="true" t="shared" si="2" ref="R12:X12">R13+R38</f>
        <v>2230.635</v>
      </c>
      <c r="S12" s="206">
        <f t="shared" si="2"/>
        <v>1385.32</v>
      </c>
      <c r="T12" s="206">
        <f t="shared" si="2"/>
        <v>845.315</v>
      </c>
      <c r="U12" s="206">
        <f t="shared" si="2"/>
        <v>798862.60754</v>
      </c>
      <c r="V12" s="206">
        <f t="shared" si="2"/>
        <v>2030.110169350912</v>
      </c>
      <c r="W12" s="206">
        <f t="shared" si="2"/>
        <v>0</v>
      </c>
      <c r="X12" s="206">
        <f t="shared" si="2"/>
        <v>2013.206189074512</v>
      </c>
      <c r="Y12" s="206"/>
      <c r="Z12" s="176"/>
      <c r="AA12" s="206"/>
      <c r="AB12" s="334">
        <f>538005.072979-Q12</f>
        <v>845.3149720000802</v>
      </c>
      <c r="AC12" s="334">
        <f>SUM(AC14:AC50)</f>
        <v>327159.245832</v>
      </c>
      <c r="AD12" s="335">
        <v>151341</v>
      </c>
      <c r="AE12" s="336">
        <f>AB12+AC12+AD12</f>
        <v>479345.56080400007</v>
      </c>
    </row>
    <row r="13" spans="1:31" s="63" customFormat="1" ht="25.5" customHeight="1">
      <c r="A13" s="190" t="s">
        <v>339</v>
      </c>
      <c r="B13" s="188" t="s">
        <v>340</v>
      </c>
      <c r="C13" s="208">
        <f aca="true" t="shared" si="3" ref="C13:K13">SUM(C14:C37)</f>
        <v>1010.159</v>
      </c>
      <c r="D13" s="208">
        <f t="shared" si="3"/>
        <v>0</v>
      </c>
      <c r="E13" s="208">
        <f t="shared" si="3"/>
        <v>639.771</v>
      </c>
      <c r="F13" s="208">
        <f t="shared" si="3"/>
        <v>370.388</v>
      </c>
      <c r="G13" s="208">
        <f t="shared" si="3"/>
        <v>0</v>
      </c>
      <c r="H13" s="208">
        <f t="shared" si="3"/>
        <v>370.388</v>
      </c>
      <c r="I13" s="208">
        <f t="shared" si="3"/>
        <v>1084023.88114</v>
      </c>
      <c r="J13" s="208">
        <f t="shared" si="3"/>
        <v>796669.7115369999</v>
      </c>
      <c r="K13" s="208">
        <f t="shared" si="3"/>
        <v>268982.669603</v>
      </c>
      <c r="L13" s="208">
        <f aca="true" t="shared" si="4" ref="L13:R13">SUM(L14:L37)</f>
        <v>18371.5</v>
      </c>
      <c r="M13" s="208">
        <f t="shared" si="4"/>
        <v>15530</v>
      </c>
      <c r="N13" s="208">
        <f>SUM(N14:N37)</f>
        <v>2841.5</v>
      </c>
      <c r="O13" s="208">
        <f>SUM(O14:O37)</f>
        <v>487518.13154299994</v>
      </c>
      <c r="P13" s="208">
        <f t="shared" si="4"/>
        <v>233335.119708</v>
      </c>
      <c r="Q13" s="208">
        <f t="shared" si="4"/>
        <v>252022.37683499997</v>
      </c>
      <c r="R13" s="208">
        <f t="shared" si="4"/>
        <v>2160.635</v>
      </c>
      <c r="S13" s="208">
        <f aca="true" t="shared" si="5" ref="S13:X13">SUM(S14:S37)</f>
        <v>1385.32</v>
      </c>
      <c r="T13" s="208">
        <f t="shared" si="5"/>
        <v>775.315</v>
      </c>
      <c r="U13" s="208">
        <f t="shared" si="5"/>
        <v>798850.22754</v>
      </c>
      <c r="V13" s="208">
        <f t="shared" si="5"/>
        <v>1930.110169350912</v>
      </c>
      <c r="W13" s="208">
        <f t="shared" si="5"/>
        <v>0</v>
      </c>
      <c r="X13" s="208">
        <f t="shared" si="5"/>
        <v>1913.206189074512</v>
      </c>
      <c r="Y13" s="208"/>
      <c r="Z13" s="189"/>
      <c r="AA13" s="208"/>
      <c r="AB13" s="334">
        <f>Q15-'[3]54.ND 31. Chi tung don vi'!$K$14</f>
        <v>44.167999999999665</v>
      </c>
      <c r="AC13" s="334"/>
      <c r="AD13" s="335"/>
      <c r="AE13" s="336"/>
    </row>
    <row r="14" spans="1:29" ht="15.75">
      <c r="A14" s="182">
        <v>1</v>
      </c>
      <c r="B14" s="341" t="s">
        <v>341</v>
      </c>
      <c r="C14" s="207">
        <f>+D14+E14+F14</f>
        <v>0</v>
      </c>
      <c r="D14" s="207"/>
      <c r="E14" s="207"/>
      <c r="F14" s="207">
        <f>+G14+H14</f>
        <v>0</v>
      </c>
      <c r="G14" s="207"/>
      <c r="H14" s="207"/>
      <c r="I14" s="207">
        <f>+J14+K14+L14</f>
        <v>8028.779</v>
      </c>
      <c r="J14" s="342">
        <v>230.679</v>
      </c>
      <c r="K14" s="343">
        <v>7798.1</v>
      </c>
      <c r="L14" s="207">
        <f>+M14+N14</f>
        <v>0</v>
      </c>
      <c r="M14" s="207"/>
      <c r="N14" s="207"/>
      <c r="O14" s="207">
        <f>+P14+Q14+R14</f>
        <v>8028.78892</v>
      </c>
      <c r="P14" s="342">
        <v>230.679</v>
      </c>
      <c r="Q14" s="207">
        <v>7798.10992</v>
      </c>
      <c r="R14" s="207">
        <f aca="true" t="shared" si="6" ref="R14:R37">+S14+T14</f>
        <v>0</v>
      </c>
      <c r="S14" s="207"/>
      <c r="T14" s="207"/>
      <c r="U14" s="207"/>
      <c r="V14" s="207">
        <f aca="true" t="shared" si="7" ref="V14:V37">+(O14/(I14+C14))*100</f>
        <v>100.00012355552444</v>
      </c>
      <c r="W14" s="207"/>
      <c r="X14" s="207">
        <f aca="true" t="shared" si="8" ref="X14:X32">+(Q14/(K14+E14))*100</f>
        <v>100.00012721047433</v>
      </c>
      <c r="Y14" s="207"/>
      <c r="Z14" s="181"/>
      <c r="AA14" s="207"/>
      <c r="AB14" s="337"/>
      <c r="AC14" s="337">
        <v>100</v>
      </c>
    </row>
    <row r="15" spans="1:29" ht="18.75" customHeight="1">
      <c r="A15" s="182">
        <v>2</v>
      </c>
      <c r="B15" s="341" t="s">
        <v>342</v>
      </c>
      <c r="C15" s="207">
        <f aca="true" t="shared" si="9" ref="C15:C32">+D15+E15+F15</f>
        <v>370.388</v>
      </c>
      <c r="D15" s="207"/>
      <c r="E15" s="207"/>
      <c r="F15" s="207">
        <f aca="true" t="shared" si="10" ref="F15:F32">+G15+H15</f>
        <v>370.388</v>
      </c>
      <c r="G15" s="207"/>
      <c r="H15" s="207">
        <v>370.388</v>
      </c>
      <c r="I15" s="207">
        <f aca="true" t="shared" si="11" ref="I15:I82">+J15+K15+L15</f>
        <v>11327.196</v>
      </c>
      <c r="J15" s="342">
        <f>'[2]55. ND 31. Chi DTXD don vi'!C17</f>
        <v>5222.744000000001</v>
      </c>
      <c r="K15" s="207">
        <v>3814.452</v>
      </c>
      <c r="L15" s="207">
        <f aca="true" t="shared" si="12" ref="L15:L82">+M15+N15</f>
        <v>2290</v>
      </c>
      <c r="M15" s="207"/>
      <c r="N15" s="207">
        <v>2290</v>
      </c>
      <c r="O15" s="207">
        <f aca="true" t="shared" si="13" ref="O15:O37">+P15+Q15+R15</f>
        <v>9327.991999999998</v>
      </c>
      <c r="P15" s="342">
        <f>3633.707</f>
        <v>3633.707</v>
      </c>
      <c r="Q15" s="207">
        <f>3353.017+505.603</f>
        <v>3858.62</v>
      </c>
      <c r="R15" s="207">
        <f t="shared" si="6"/>
        <v>1835.665</v>
      </c>
      <c r="S15" s="207">
        <f>1385.32</f>
        <v>1385.32</v>
      </c>
      <c r="T15" s="207">
        <f>450.345</f>
        <v>450.345</v>
      </c>
      <c r="U15" s="207">
        <v>0</v>
      </c>
      <c r="V15" s="207">
        <f t="shared" si="7"/>
        <v>79.74289391723964</v>
      </c>
      <c r="W15" s="207"/>
      <c r="X15" s="207">
        <f t="shared" si="8"/>
        <v>101.15791206705444</v>
      </c>
      <c r="Y15" s="207">
        <f>+(R15/(L15+F15))*100</f>
        <v>68.9998977592742</v>
      </c>
      <c r="Z15" s="181"/>
      <c r="AA15" s="207">
        <f>+(T15/(N15+H15))*100</f>
        <v>16.9277939909517</v>
      </c>
      <c r="AB15" s="337"/>
      <c r="AC15" s="337"/>
    </row>
    <row r="16" spans="1:29" ht="18.75" customHeight="1">
      <c r="A16" s="182">
        <v>3</v>
      </c>
      <c r="B16" s="341" t="s">
        <v>343</v>
      </c>
      <c r="C16" s="207">
        <f t="shared" si="9"/>
        <v>0</v>
      </c>
      <c r="D16" s="207"/>
      <c r="E16" s="207"/>
      <c r="F16" s="207">
        <f t="shared" si="10"/>
        <v>0</v>
      </c>
      <c r="G16" s="207"/>
      <c r="H16" s="207"/>
      <c r="I16" s="207">
        <f t="shared" si="11"/>
        <v>1095.9</v>
      </c>
      <c r="J16" s="207"/>
      <c r="K16" s="207">
        <v>1095.9</v>
      </c>
      <c r="L16" s="207">
        <f t="shared" si="12"/>
        <v>0</v>
      </c>
      <c r="M16" s="207"/>
      <c r="N16" s="207"/>
      <c r="O16" s="207">
        <f t="shared" si="13"/>
        <v>1095.92236</v>
      </c>
      <c r="P16" s="207"/>
      <c r="Q16" s="207">
        <v>1095.92236</v>
      </c>
      <c r="R16" s="207">
        <f t="shared" si="6"/>
        <v>0</v>
      </c>
      <c r="S16" s="207"/>
      <c r="T16" s="207"/>
      <c r="U16" s="207">
        <v>0</v>
      </c>
      <c r="V16" s="207">
        <f t="shared" si="7"/>
        <v>100.00204033214708</v>
      </c>
      <c r="W16" s="207"/>
      <c r="X16" s="207">
        <f t="shared" si="8"/>
        <v>100.00204033214708</v>
      </c>
      <c r="Y16" s="207"/>
      <c r="Z16" s="181"/>
      <c r="AA16" s="207"/>
      <c r="AB16" s="337">
        <v>370.388</v>
      </c>
      <c r="AC16" s="337"/>
    </row>
    <row r="17" spans="1:29" ht="18.75" customHeight="1">
      <c r="A17" s="182">
        <v>4</v>
      </c>
      <c r="B17" s="341" t="s">
        <v>344</v>
      </c>
      <c r="C17" s="207">
        <f t="shared" si="9"/>
        <v>266.244</v>
      </c>
      <c r="D17" s="207"/>
      <c r="E17" s="207">
        <v>266.244</v>
      </c>
      <c r="F17" s="207">
        <f t="shared" si="10"/>
        <v>0</v>
      </c>
      <c r="G17" s="207"/>
      <c r="H17" s="207"/>
      <c r="I17" s="207">
        <f t="shared" si="11"/>
        <v>3615.732</v>
      </c>
      <c r="J17" s="207"/>
      <c r="K17" s="207">
        <f>3881.976-C17</f>
        <v>3615.732</v>
      </c>
      <c r="L17" s="207">
        <f t="shared" si="12"/>
        <v>0</v>
      </c>
      <c r="M17" s="207"/>
      <c r="N17" s="207"/>
      <c r="O17" s="207">
        <f t="shared" si="13"/>
        <v>3486.1896</v>
      </c>
      <c r="P17" s="207"/>
      <c r="Q17" s="343">
        <v>3486.1896</v>
      </c>
      <c r="R17" s="207">
        <f t="shared" si="6"/>
        <v>0</v>
      </c>
      <c r="S17" s="207"/>
      <c r="T17" s="207"/>
      <c r="U17" s="207">
        <v>0</v>
      </c>
      <c r="V17" s="207">
        <f t="shared" si="7"/>
        <v>89.80451192897638</v>
      </c>
      <c r="W17" s="207"/>
      <c r="X17" s="207">
        <f t="shared" si="8"/>
        <v>89.80451192897638</v>
      </c>
      <c r="Y17" s="207"/>
      <c r="Z17" s="181"/>
      <c r="AA17" s="207"/>
      <c r="AB17" s="337"/>
      <c r="AC17" s="337"/>
    </row>
    <row r="18" spans="1:29" ht="18.75" customHeight="1">
      <c r="A18" s="182">
        <v>5</v>
      </c>
      <c r="B18" s="341" t="s">
        <v>345</v>
      </c>
      <c r="C18" s="207">
        <f t="shared" si="9"/>
        <v>0</v>
      </c>
      <c r="D18" s="207"/>
      <c r="E18" s="207"/>
      <c r="F18" s="207">
        <f t="shared" si="10"/>
        <v>0</v>
      </c>
      <c r="G18" s="207"/>
      <c r="H18" s="207"/>
      <c r="I18" s="207">
        <f t="shared" si="11"/>
        <v>47627.166</v>
      </c>
      <c r="J18" s="342">
        <f>'[2]55. ND 31. Chi DTXD don vi'!C16</f>
        <v>21941.382999999998</v>
      </c>
      <c r="K18" s="207">
        <v>25685.783</v>
      </c>
      <c r="L18" s="207">
        <f t="shared" si="12"/>
        <v>0</v>
      </c>
      <c r="M18" s="207"/>
      <c r="N18" s="207"/>
      <c r="O18" s="207">
        <f t="shared" si="13"/>
        <v>44300.073468999995</v>
      </c>
      <c r="P18" s="342">
        <v>19863.56213</v>
      </c>
      <c r="Q18" s="207">
        <v>24436.511339</v>
      </c>
      <c r="R18" s="207">
        <f t="shared" si="6"/>
        <v>0</v>
      </c>
      <c r="S18" s="207"/>
      <c r="T18" s="207"/>
      <c r="U18" s="207">
        <f>817.617+974.923+228.4172</f>
        <v>2020.9572</v>
      </c>
      <c r="V18" s="207">
        <f t="shared" si="7"/>
        <v>93.0142966495214</v>
      </c>
      <c r="W18" s="207"/>
      <c r="X18" s="207">
        <f t="shared" si="8"/>
        <v>95.13633023762601</v>
      </c>
      <c r="Y18" s="207"/>
      <c r="Z18" s="181"/>
      <c r="AA18" s="207"/>
      <c r="AB18" s="337">
        <f>266.244522</f>
        <v>266.244522</v>
      </c>
      <c r="AC18" s="337"/>
    </row>
    <row r="19" spans="1:29" ht="36.75" customHeight="1">
      <c r="A19" s="182">
        <v>6</v>
      </c>
      <c r="B19" s="341" t="s">
        <v>346</v>
      </c>
      <c r="C19" s="207">
        <f t="shared" si="9"/>
        <v>13.673</v>
      </c>
      <c r="D19" s="207"/>
      <c r="E19" s="207">
        <f>0.549+13.124</f>
        <v>13.673</v>
      </c>
      <c r="F19" s="207">
        <f t="shared" si="10"/>
        <v>0</v>
      </c>
      <c r="G19" s="207"/>
      <c r="H19" s="207"/>
      <c r="I19" s="207">
        <f t="shared" si="11"/>
        <v>10450.799398</v>
      </c>
      <c r="J19" s="342">
        <f>'[2]55. ND 31. Chi DTXD don vi'!C19</f>
        <v>1825.0589999999997</v>
      </c>
      <c r="K19" s="207">
        <f>8639.413398-C19</f>
        <v>8625.740398</v>
      </c>
      <c r="L19" s="207">
        <f t="shared" si="12"/>
        <v>0</v>
      </c>
      <c r="M19" s="207"/>
      <c r="N19" s="207"/>
      <c r="O19" s="207">
        <f t="shared" si="13"/>
        <v>7462.374428</v>
      </c>
      <c r="P19" s="342">
        <v>411.674</v>
      </c>
      <c r="Q19" s="207">
        <v>7050.700428</v>
      </c>
      <c r="R19" s="207">
        <f t="shared" si="6"/>
        <v>0</v>
      </c>
      <c r="S19" s="207"/>
      <c r="T19" s="207"/>
      <c r="U19" s="207">
        <v>145.986</v>
      </c>
      <c r="V19" s="207">
        <f t="shared" si="7"/>
        <v>71.31152096522545</v>
      </c>
      <c r="W19" s="207"/>
      <c r="X19" s="207">
        <f t="shared" si="8"/>
        <v>81.61086989577576</v>
      </c>
      <c r="Y19" s="207"/>
      <c r="Z19" s="181"/>
      <c r="AA19" s="207"/>
      <c r="AB19" s="337"/>
      <c r="AC19" s="337">
        <v>27.873</v>
      </c>
    </row>
    <row r="20" spans="1:29" ht="19.5" customHeight="1">
      <c r="A20" s="182">
        <v>7</v>
      </c>
      <c r="B20" s="341" t="s">
        <v>347</v>
      </c>
      <c r="C20" s="207">
        <f t="shared" si="9"/>
        <v>93.294</v>
      </c>
      <c r="D20" s="207"/>
      <c r="E20" s="207">
        <v>93.294</v>
      </c>
      <c r="F20" s="207">
        <f t="shared" si="10"/>
        <v>0</v>
      </c>
      <c r="G20" s="207"/>
      <c r="H20" s="207"/>
      <c r="I20" s="207">
        <f t="shared" si="11"/>
        <v>6175.96235</v>
      </c>
      <c r="J20" s="342">
        <f>1795.868+13.769</f>
        <v>1809.637</v>
      </c>
      <c r="K20" s="207">
        <f>4459.61935-C20</f>
        <v>4366.32535</v>
      </c>
      <c r="L20" s="207">
        <f t="shared" si="12"/>
        <v>0</v>
      </c>
      <c r="M20" s="207"/>
      <c r="N20" s="207"/>
      <c r="O20" s="207">
        <f t="shared" si="13"/>
        <v>5970.788944</v>
      </c>
      <c r="P20" s="342">
        <v>1795.868</v>
      </c>
      <c r="Q20" s="207">
        <v>4174.920944</v>
      </c>
      <c r="R20" s="207">
        <f t="shared" si="6"/>
        <v>0</v>
      </c>
      <c r="S20" s="207"/>
      <c r="T20" s="207"/>
      <c r="U20" s="207">
        <f>79.450406+19+13.769</f>
        <v>112.219406</v>
      </c>
      <c r="V20" s="207">
        <f t="shared" si="7"/>
        <v>95.23918963690167</v>
      </c>
      <c r="W20" s="207"/>
      <c r="X20" s="207">
        <f t="shared" si="8"/>
        <v>93.61608281657493</v>
      </c>
      <c r="Y20" s="207"/>
      <c r="Z20" s="181"/>
      <c r="AA20" s="207"/>
      <c r="AB20" s="337">
        <f>13.124398+0.549</f>
        <v>13.673397999999999</v>
      </c>
      <c r="AC20" s="337">
        <f>630</f>
        <v>630</v>
      </c>
    </row>
    <row r="21" spans="1:29" ht="18.75" customHeight="1">
      <c r="A21" s="182">
        <v>8</v>
      </c>
      <c r="B21" s="341" t="s">
        <v>348</v>
      </c>
      <c r="C21" s="207">
        <f t="shared" si="9"/>
        <v>0</v>
      </c>
      <c r="D21" s="207"/>
      <c r="E21" s="207"/>
      <c r="F21" s="207">
        <f t="shared" si="10"/>
        <v>0</v>
      </c>
      <c r="G21" s="207"/>
      <c r="H21" s="207"/>
      <c r="I21" s="207">
        <f t="shared" si="11"/>
        <v>1352.7796</v>
      </c>
      <c r="J21" s="207"/>
      <c r="K21" s="207">
        <v>1352.7796</v>
      </c>
      <c r="L21" s="207">
        <f t="shared" si="12"/>
        <v>0</v>
      </c>
      <c r="M21" s="207"/>
      <c r="N21" s="207"/>
      <c r="O21" s="207">
        <f t="shared" si="13"/>
        <v>1352.7796</v>
      </c>
      <c r="P21" s="207"/>
      <c r="Q21" s="207">
        <v>1352.7796</v>
      </c>
      <c r="R21" s="207">
        <f t="shared" si="6"/>
        <v>0</v>
      </c>
      <c r="S21" s="207"/>
      <c r="T21" s="207"/>
      <c r="U21" s="207"/>
      <c r="V21" s="207">
        <f t="shared" si="7"/>
        <v>100</v>
      </c>
      <c r="W21" s="207"/>
      <c r="X21" s="207">
        <f t="shared" si="8"/>
        <v>100</v>
      </c>
      <c r="Y21" s="207"/>
      <c r="Z21" s="181"/>
      <c r="AA21" s="207"/>
      <c r="AB21" s="338">
        <v>93.29465</v>
      </c>
      <c r="AC21" s="338"/>
    </row>
    <row r="22" spans="1:29" ht="18.75" customHeight="1">
      <c r="A22" s="182">
        <v>9</v>
      </c>
      <c r="B22" s="341" t="s">
        <v>349</v>
      </c>
      <c r="C22" s="207">
        <f t="shared" si="9"/>
        <v>235.693</v>
      </c>
      <c r="D22" s="207"/>
      <c r="E22" s="207">
        <v>235.693</v>
      </c>
      <c r="F22" s="207">
        <f t="shared" si="10"/>
        <v>0</v>
      </c>
      <c r="G22" s="207"/>
      <c r="H22" s="207"/>
      <c r="I22" s="207">
        <f t="shared" si="11"/>
        <v>119463.35628</v>
      </c>
      <c r="J22" s="342">
        <v>140</v>
      </c>
      <c r="K22" s="207">
        <f>119559.04928-L22-E22</f>
        <v>119198.35628</v>
      </c>
      <c r="L22" s="207">
        <f t="shared" si="12"/>
        <v>125</v>
      </c>
      <c r="M22" s="207"/>
      <c r="N22" s="207">
        <v>125</v>
      </c>
      <c r="O22" s="207">
        <f t="shared" si="13"/>
        <v>110913.82568</v>
      </c>
      <c r="P22" s="342">
        <v>140</v>
      </c>
      <c r="Q22" s="207">
        <f>110648.85568</f>
        <v>110648.85568</v>
      </c>
      <c r="R22" s="207">
        <f t="shared" si="6"/>
        <v>124.97</v>
      </c>
      <c r="S22" s="207"/>
      <c r="T22" s="207">
        <v>124.97</v>
      </c>
      <c r="U22" s="207">
        <v>80.145</v>
      </c>
      <c r="V22" s="207">
        <f t="shared" si="7"/>
        <v>92.66057361955346</v>
      </c>
      <c r="W22" s="207"/>
      <c r="X22" s="207">
        <f t="shared" si="8"/>
        <v>92.64431403526804</v>
      </c>
      <c r="Y22" s="207">
        <f>+(R22/(L22+F22))*100</f>
        <v>99.976</v>
      </c>
      <c r="Z22" s="181"/>
      <c r="AA22" s="207">
        <f>+(T22/(N22+H22))*100</f>
        <v>99.976</v>
      </c>
      <c r="AB22" s="337"/>
      <c r="AC22" s="337"/>
    </row>
    <row r="23" spans="1:29" ht="18.75" customHeight="1">
      <c r="A23" s="182">
        <v>10</v>
      </c>
      <c r="B23" s="341" t="s">
        <v>350</v>
      </c>
      <c r="C23" s="207">
        <f t="shared" si="9"/>
        <v>0</v>
      </c>
      <c r="D23" s="207"/>
      <c r="E23" s="207"/>
      <c r="F23" s="207">
        <f t="shared" si="10"/>
        <v>0</v>
      </c>
      <c r="G23" s="207"/>
      <c r="H23" s="207"/>
      <c r="I23" s="207">
        <f t="shared" si="11"/>
        <v>955.556</v>
      </c>
      <c r="J23" s="207"/>
      <c r="K23" s="207">
        <v>955.556</v>
      </c>
      <c r="L23" s="207">
        <f t="shared" si="12"/>
        <v>0</v>
      </c>
      <c r="M23" s="207"/>
      <c r="N23" s="207"/>
      <c r="O23" s="207">
        <f t="shared" si="13"/>
        <v>955.556</v>
      </c>
      <c r="P23" s="207"/>
      <c r="Q23" s="207">
        <v>955.556</v>
      </c>
      <c r="R23" s="207">
        <f t="shared" si="6"/>
        <v>0</v>
      </c>
      <c r="S23" s="207"/>
      <c r="T23" s="207"/>
      <c r="U23" s="207"/>
      <c r="V23" s="207">
        <f t="shared" si="7"/>
        <v>100</v>
      </c>
      <c r="W23" s="207"/>
      <c r="X23" s="207">
        <f t="shared" si="8"/>
        <v>100</v>
      </c>
      <c r="Y23" s="207"/>
      <c r="Z23" s="181"/>
      <c r="AA23" s="207"/>
      <c r="AB23" s="337">
        <f>235.693+2701.765</f>
        <v>2937.458</v>
      </c>
      <c r="AC23" s="337"/>
    </row>
    <row r="24" spans="1:29" ht="18.75" customHeight="1">
      <c r="A24" s="182">
        <v>11</v>
      </c>
      <c r="B24" s="341" t="s">
        <v>351</v>
      </c>
      <c r="C24" s="207">
        <f t="shared" si="9"/>
        <v>30.867</v>
      </c>
      <c r="D24" s="207"/>
      <c r="E24" s="207">
        <v>30.867</v>
      </c>
      <c r="F24" s="207">
        <f t="shared" si="10"/>
        <v>0</v>
      </c>
      <c r="G24" s="207"/>
      <c r="H24" s="207"/>
      <c r="I24" s="207">
        <f t="shared" si="11"/>
        <v>9938.708</v>
      </c>
      <c r="J24" s="207"/>
      <c r="K24" s="207">
        <f>9969.575-E24</f>
        <v>9938.708</v>
      </c>
      <c r="L24" s="207">
        <f t="shared" si="12"/>
        <v>0</v>
      </c>
      <c r="M24" s="207"/>
      <c r="N24" s="207"/>
      <c r="O24" s="207">
        <f t="shared" si="13"/>
        <v>8684.814637</v>
      </c>
      <c r="P24" s="207"/>
      <c r="Q24" s="207">
        <v>8684.814637</v>
      </c>
      <c r="R24" s="207">
        <f t="shared" si="6"/>
        <v>0</v>
      </c>
      <c r="S24" s="207"/>
      <c r="T24" s="207"/>
      <c r="U24" s="207"/>
      <c r="V24" s="207">
        <f t="shared" si="7"/>
        <v>87.11318824523612</v>
      </c>
      <c r="W24" s="207"/>
      <c r="X24" s="207">
        <f t="shared" si="8"/>
        <v>87.11318824523612</v>
      </c>
      <c r="Y24" s="207"/>
      <c r="Z24" s="181"/>
      <c r="AA24" s="207"/>
      <c r="AB24" s="337"/>
      <c r="AC24" s="337"/>
    </row>
    <row r="25" spans="1:29" ht="18.75" customHeight="1">
      <c r="A25" s="182">
        <v>12</v>
      </c>
      <c r="B25" s="341" t="s">
        <v>352</v>
      </c>
      <c r="C25" s="207">
        <f t="shared" si="9"/>
        <v>0</v>
      </c>
      <c r="D25" s="207"/>
      <c r="E25" s="207"/>
      <c r="F25" s="207">
        <f t="shared" si="10"/>
        <v>0</v>
      </c>
      <c r="G25" s="207"/>
      <c r="H25" s="207"/>
      <c r="I25" s="207">
        <f t="shared" si="11"/>
        <v>3455.077</v>
      </c>
      <c r="J25" s="342">
        <f>'[2]55. ND 31. Chi DTXD don vi'!C21</f>
        <v>860.302</v>
      </c>
      <c r="K25" s="207">
        <v>2594.775</v>
      </c>
      <c r="L25" s="207">
        <f t="shared" si="12"/>
        <v>0</v>
      </c>
      <c r="M25" s="207"/>
      <c r="N25" s="207"/>
      <c r="O25" s="207">
        <f t="shared" si="13"/>
        <v>8667.93</v>
      </c>
      <c r="P25" s="342">
        <v>6470.06</v>
      </c>
      <c r="Q25" s="207">
        <v>2197.87</v>
      </c>
      <c r="R25" s="207">
        <f t="shared" si="6"/>
        <v>0</v>
      </c>
      <c r="S25" s="207"/>
      <c r="T25" s="207"/>
      <c r="U25" s="207"/>
      <c r="V25" s="207">
        <f t="shared" si="7"/>
        <v>250.87516139292987</v>
      </c>
      <c r="W25" s="207"/>
      <c r="X25" s="207">
        <f t="shared" si="8"/>
        <v>84.70368336368279</v>
      </c>
      <c r="Y25" s="207"/>
      <c r="Z25" s="181"/>
      <c r="AA25" s="207"/>
      <c r="AB25" s="337">
        <v>30.867</v>
      </c>
      <c r="AC25" s="337"/>
    </row>
    <row r="26" spans="1:29" ht="18.75" customHeight="1">
      <c r="A26" s="182">
        <v>13</v>
      </c>
      <c r="B26" s="341" t="s">
        <v>353</v>
      </c>
      <c r="C26" s="207">
        <f t="shared" si="9"/>
        <v>0</v>
      </c>
      <c r="D26" s="207"/>
      <c r="E26" s="207"/>
      <c r="F26" s="207">
        <f t="shared" si="10"/>
        <v>0</v>
      </c>
      <c r="G26" s="207"/>
      <c r="H26" s="207"/>
      <c r="I26" s="207">
        <f t="shared" si="11"/>
        <v>11188</v>
      </c>
      <c r="J26" s="207"/>
      <c r="K26" s="207">
        <v>11188</v>
      </c>
      <c r="L26" s="207">
        <f t="shared" si="12"/>
        <v>0</v>
      </c>
      <c r="M26" s="207"/>
      <c r="N26" s="207"/>
      <c r="O26" s="207">
        <f t="shared" si="13"/>
        <v>11188.226</v>
      </c>
      <c r="P26" s="207"/>
      <c r="Q26" s="207">
        <f>11188.226</f>
        <v>11188.226</v>
      </c>
      <c r="R26" s="207">
        <f t="shared" si="6"/>
        <v>0</v>
      </c>
      <c r="S26" s="207"/>
      <c r="T26" s="207"/>
      <c r="U26" s="207">
        <v>285.218</v>
      </c>
      <c r="V26" s="207">
        <f t="shared" si="7"/>
        <v>100.00202002145156</v>
      </c>
      <c r="W26" s="207"/>
      <c r="X26" s="207">
        <f t="shared" si="8"/>
        <v>100.00202002145156</v>
      </c>
      <c r="Y26" s="207"/>
      <c r="Z26" s="181"/>
      <c r="AA26" s="207"/>
      <c r="AB26" s="337"/>
      <c r="AC26" s="337"/>
    </row>
    <row r="27" spans="1:29" ht="18.75" customHeight="1">
      <c r="A27" s="182">
        <v>14</v>
      </c>
      <c r="B27" s="341" t="s">
        <v>354</v>
      </c>
      <c r="C27" s="207">
        <f t="shared" si="9"/>
        <v>0</v>
      </c>
      <c r="D27" s="207"/>
      <c r="E27" s="207"/>
      <c r="F27" s="207">
        <f t="shared" si="10"/>
        <v>0</v>
      </c>
      <c r="G27" s="207"/>
      <c r="H27" s="207"/>
      <c r="I27" s="207">
        <f t="shared" si="11"/>
        <v>8056.732</v>
      </c>
      <c r="J27" s="207"/>
      <c r="K27" s="207">
        <v>8056.732</v>
      </c>
      <c r="L27" s="207">
        <f t="shared" si="12"/>
        <v>0</v>
      </c>
      <c r="M27" s="207"/>
      <c r="N27" s="207"/>
      <c r="O27" s="207">
        <f t="shared" si="13"/>
        <v>8056.732</v>
      </c>
      <c r="P27" s="207"/>
      <c r="Q27" s="207">
        <v>8056.732</v>
      </c>
      <c r="R27" s="207">
        <f t="shared" si="6"/>
        <v>0</v>
      </c>
      <c r="S27" s="207"/>
      <c r="T27" s="207"/>
      <c r="U27" s="207"/>
      <c r="V27" s="207">
        <f t="shared" si="7"/>
        <v>100</v>
      </c>
      <c r="W27" s="207"/>
      <c r="X27" s="207">
        <f t="shared" si="8"/>
        <v>100</v>
      </c>
      <c r="Y27" s="207"/>
      <c r="Z27" s="181"/>
      <c r="AA27" s="207"/>
      <c r="AB27" s="337"/>
      <c r="AC27" s="337"/>
    </row>
    <row r="28" spans="1:29" ht="18" customHeight="1">
      <c r="A28" s="182">
        <v>15</v>
      </c>
      <c r="B28" s="341" t="s">
        <v>355</v>
      </c>
      <c r="C28" s="207">
        <f t="shared" si="9"/>
        <v>0</v>
      </c>
      <c r="D28" s="207"/>
      <c r="E28" s="207"/>
      <c r="F28" s="207">
        <f t="shared" si="10"/>
        <v>0</v>
      </c>
      <c r="G28" s="207"/>
      <c r="H28" s="207"/>
      <c r="I28" s="207">
        <f t="shared" si="11"/>
        <v>4064.327112</v>
      </c>
      <c r="J28" s="207"/>
      <c r="K28" s="343">
        <v>4064.327112</v>
      </c>
      <c r="L28" s="207">
        <f t="shared" si="12"/>
        <v>0</v>
      </c>
      <c r="M28" s="207"/>
      <c r="N28" s="207"/>
      <c r="O28" s="207">
        <f t="shared" si="13"/>
        <v>3999.327112</v>
      </c>
      <c r="P28" s="207"/>
      <c r="Q28" s="343">
        <v>3999.327112</v>
      </c>
      <c r="R28" s="207">
        <f t="shared" si="6"/>
        <v>0</v>
      </c>
      <c r="S28" s="207"/>
      <c r="T28" s="207"/>
      <c r="U28" s="207"/>
      <c r="V28" s="207">
        <f t="shared" si="7"/>
        <v>98.4007192775383</v>
      </c>
      <c r="W28" s="207"/>
      <c r="X28" s="207">
        <f t="shared" si="8"/>
        <v>98.4007192775383</v>
      </c>
      <c r="Y28" s="207"/>
      <c r="Z28" s="181"/>
      <c r="AA28" s="207"/>
      <c r="AB28" s="337"/>
      <c r="AC28" s="337"/>
    </row>
    <row r="29" spans="1:29" ht="18" customHeight="1">
      <c r="A29" s="182">
        <v>16</v>
      </c>
      <c r="B29" s="341" t="s">
        <v>356</v>
      </c>
      <c r="C29" s="207">
        <f t="shared" si="9"/>
        <v>0</v>
      </c>
      <c r="D29" s="207"/>
      <c r="E29" s="207"/>
      <c r="F29" s="207">
        <f t="shared" si="10"/>
        <v>0</v>
      </c>
      <c r="G29" s="207"/>
      <c r="H29" s="207"/>
      <c r="I29" s="207">
        <f t="shared" si="11"/>
        <v>11953.365</v>
      </c>
      <c r="J29" s="207">
        <f>'[2]55. ND 31. Chi DTXD don vi'!C20</f>
        <v>5801.916</v>
      </c>
      <c r="K29" s="207">
        <v>6151.449</v>
      </c>
      <c r="L29" s="207">
        <f t="shared" si="12"/>
        <v>0</v>
      </c>
      <c r="M29" s="207"/>
      <c r="N29" s="207"/>
      <c r="O29" s="207">
        <f t="shared" si="13"/>
        <v>6095.498</v>
      </c>
      <c r="P29" s="207"/>
      <c r="Q29" s="343">
        <v>6095.498</v>
      </c>
      <c r="R29" s="207">
        <f t="shared" si="6"/>
        <v>0</v>
      </c>
      <c r="S29" s="207"/>
      <c r="T29" s="207"/>
      <c r="U29" s="207">
        <v>192</v>
      </c>
      <c r="V29" s="207">
        <f t="shared" si="7"/>
        <v>50.993992068342266</v>
      </c>
      <c r="W29" s="207"/>
      <c r="X29" s="207">
        <f t="shared" si="8"/>
        <v>99.09044194302838</v>
      </c>
      <c r="Y29" s="207"/>
      <c r="Z29" s="181"/>
      <c r="AA29" s="207"/>
      <c r="AB29" s="337"/>
      <c r="AC29" s="337"/>
    </row>
    <row r="30" spans="1:29" ht="18" customHeight="1">
      <c r="A30" s="182">
        <v>17</v>
      </c>
      <c r="B30" s="341" t="s">
        <v>357</v>
      </c>
      <c r="C30" s="207">
        <f t="shared" si="9"/>
        <v>0</v>
      </c>
      <c r="D30" s="207"/>
      <c r="E30" s="207"/>
      <c r="F30" s="207">
        <f t="shared" si="10"/>
        <v>0</v>
      </c>
      <c r="G30" s="207"/>
      <c r="H30" s="207"/>
      <c r="I30" s="207">
        <f t="shared" si="11"/>
        <v>1684.123867</v>
      </c>
      <c r="J30" s="207"/>
      <c r="K30" s="207">
        <v>1684.123867</v>
      </c>
      <c r="L30" s="207">
        <f t="shared" si="12"/>
        <v>0</v>
      </c>
      <c r="M30" s="207"/>
      <c r="N30" s="207"/>
      <c r="O30" s="207">
        <f t="shared" si="13"/>
        <v>1684.123867</v>
      </c>
      <c r="P30" s="207"/>
      <c r="Q30" s="207">
        <v>1684.123867</v>
      </c>
      <c r="R30" s="207">
        <f t="shared" si="6"/>
        <v>0</v>
      </c>
      <c r="S30" s="207"/>
      <c r="T30" s="207"/>
      <c r="U30" s="207"/>
      <c r="V30" s="207">
        <f t="shared" si="7"/>
        <v>100</v>
      </c>
      <c r="W30" s="207"/>
      <c r="X30" s="207">
        <f t="shared" si="8"/>
        <v>100</v>
      </c>
      <c r="Y30" s="207"/>
      <c r="Z30" s="181"/>
      <c r="AA30" s="207"/>
      <c r="AB30" s="337"/>
      <c r="AC30" s="337"/>
    </row>
    <row r="31" spans="1:29" ht="18" customHeight="1">
      <c r="A31" s="182">
        <v>18</v>
      </c>
      <c r="B31" s="341" t="s">
        <v>358</v>
      </c>
      <c r="C31" s="207">
        <f t="shared" si="9"/>
        <v>0</v>
      </c>
      <c r="D31" s="207"/>
      <c r="E31" s="207"/>
      <c r="F31" s="207">
        <f t="shared" si="10"/>
        <v>0</v>
      </c>
      <c r="G31" s="207"/>
      <c r="H31" s="207"/>
      <c r="I31" s="207">
        <f t="shared" si="11"/>
        <v>6207</v>
      </c>
      <c r="J31" s="207">
        <f>2940.99+59.01</f>
        <v>3000</v>
      </c>
      <c r="K31" s="207">
        <v>3207</v>
      </c>
      <c r="L31" s="207">
        <f t="shared" si="12"/>
        <v>0</v>
      </c>
      <c r="M31" s="207"/>
      <c r="N31" s="207"/>
      <c r="O31" s="207">
        <f t="shared" si="13"/>
        <v>6147.579</v>
      </c>
      <c r="P31" s="207">
        <v>2940.99</v>
      </c>
      <c r="Q31" s="207">
        <v>3206.589</v>
      </c>
      <c r="R31" s="207">
        <f t="shared" si="6"/>
        <v>0</v>
      </c>
      <c r="S31" s="207"/>
      <c r="T31" s="207"/>
      <c r="U31" s="207"/>
      <c r="V31" s="207">
        <f t="shared" si="7"/>
        <v>99.04267762203963</v>
      </c>
      <c r="W31" s="207"/>
      <c r="X31" s="207">
        <f t="shared" si="8"/>
        <v>99.98718428437792</v>
      </c>
      <c r="Y31" s="207"/>
      <c r="Z31" s="181"/>
      <c r="AA31" s="207"/>
      <c r="AB31" s="337"/>
      <c r="AC31" s="337"/>
    </row>
    <row r="32" spans="1:29" ht="18" customHeight="1">
      <c r="A32" s="182">
        <v>19</v>
      </c>
      <c r="B32" s="341" t="s">
        <v>359</v>
      </c>
      <c r="C32" s="207">
        <f t="shared" si="9"/>
        <v>0</v>
      </c>
      <c r="D32" s="207"/>
      <c r="E32" s="207"/>
      <c r="F32" s="207">
        <f t="shared" si="10"/>
        <v>0</v>
      </c>
      <c r="G32" s="207"/>
      <c r="H32" s="207"/>
      <c r="I32" s="207">
        <f t="shared" si="11"/>
        <v>8775</v>
      </c>
      <c r="J32" s="207"/>
      <c r="K32" s="207">
        <v>8775</v>
      </c>
      <c r="L32" s="207">
        <f t="shared" si="12"/>
        <v>0</v>
      </c>
      <c r="M32" s="207"/>
      <c r="N32" s="207"/>
      <c r="O32" s="207">
        <f t="shared" si="13"/>
        <v>8775.0854</v>
      </c>
      <c r="P32" s="207"/>
      <c r="Q32" s="207">
        <v>8775.0854</v>
      </c>
      <c r="R32" s="207">
        <f t="shared" si="6"/>
        <v>0</v>
      </c>
      <c r="S32" s="207"/>
      <c r="T32" s="207"/>
      <c r="U32" s="207"/>
      <c r="V32" s="207">
        <f t="shared" si="7"/>
        <v>100.00097321937322</v>
      </c>
      <c r="W32" s="207"/>
      <c r="X32" s="207">
        <f t="shared" si="8"/>
        <v>100.00097321937322</v>
      </c>
      <c r="Y32" s="207"/>
      <c r="Z32" s="181"/>
      <c r="AA32" s="207"/>
      <c r="AB32" s="337"/>
      <c r="AC32" s="337">
        <f>2159.795+3361.848549-2831.848549</f>
        <v>2689.7950000000005</v>
      </c>
    </row>
    <row r="33" spans="1:29" ht="20.25" customHeight="1">
      <c r="A33" s="182">
        <v>20</v>
      </c>
      <c r="B33" s="341" t="s">
        <v>360</v>
      </c>
      <c r="C33" s="207"/>
      <c r="D33" s="207"/>
      <c r="E33" s="207"/>
      <c r="F33" s="207"/>
      <c r="G33" s="207"/>
      <c r="H33" s="207"/>
      <c r="I33" s="207">
        <f t="shared" si="11"/>
        <v>458975.099631</v>
      </c>
      <c r="J33" s="207">
        <f>'[2]55. ND 31. Chi DTXD don vi'!C14</f>
        <v>458491.095631</v>
      </c>
      <c r="K33" s="207">
        <v>484.004</v>
      </c>
      <c r="L33" s="207">
        <f t="shared" si="12"/>
        <v>0</v>
      </c>
      <c r="M33" s="207"/>
      <c r="N33" s="207"/>
      <c r="O33" s="207">
        <f t="shared" si="13"/>
        <v>147045.783</v>
      </c>
      <c r="P33" s="207">
        <v>146561.779</v>
      </c>
      <c r="Q33" s="207">
        <v>484.004</v>
      </c>
      <c r="R33" s="207"/>
      <c r="S33" s="207"/>
      <c r="T33" s="207"/>
      <c r="U33" s="207">
        <f>13.457+48814.580622+10000+35408.901399</f>
        <v>94236.939021</v>
      </c>
      <c r="V33" s="207"/>
      <c r="W33" s="207"/>
      <c r="X33" s="207"/>
      <c r="Y33" s="207"/>
      <c r="Z33" s="181"/>
      <c r="AA33" s="207"/>
      <c r="AB33" s="337"/>
      <c r="AC33" s="337"/>
    </row>
    <row r="34" spans="1:29" ht="21" customHeight="1">
      <c r="A34" s="182">
        <v>21</v>
      </c>
      <c r="B34" s="341" t="s">
        <v>361</v>
      </c>
      <c r="C34" s="207"/>
      <c r="D34" s="207"/>
      <c r="E34" s="207"/>
      <c r="F34" s="207"/>
      <c r="G34" s="207"/>
      <c r="H34" s="207"/>
      <c r="I34" s="207">
        <f t="shared" si="11"/>
        <v>20094.567756</v>
      </c>
      <c r="J34" s="207">
        <f>'[2]55. ND 31. Chi DTXD don vi'!C15</f>
        <v>18363.981956</v>
      </c>
      <c r="K34" s="207">
        <v>1730.5858</v>
      </c>
      <c r="L34" s="207">
        <f t="shared" si="12"/>
        <v>0</v>
      </c>
      <c r="M34" s="207"/>
      <c r="N34" s="207"/>
      <c r="O34" s="207">
        <f t="shared" si="13"/>
        <v>11953.763999999997</v>
      </c>
      <c r="P34" s="207">
        <f>156858.138-P33</f>
        <v>10296.358999999997</v>
      </c>
      <c r="Q34" s="207">
        <f>1730.5858-73.1808</f>
        <v>1657.405</v>
      </c>
      <c r="R34" s="207"/>
      <c r="S34" s="207"/>
      <c r="T34" s="207"/>
      <c r="U34" s="207">
        <f>1207.883755+1827.836053</f>
        <v>3035.719808</v>
      </c>
      <c r="V34" s="207"/>
      <c r="W34" s="207"/>
      <c r="X34" s="207"/>
      <c r="Y34" s="207"/>
      <c r="Z34" s="181"/>
      <c r="AA34" s="207"/>
      <c r="AB34" s="337"/>
      <c r="AC34" s="337"/>
    </row>
    <row r="35" spans="1:29" ht="19.5" customHeight="1">
      <c r="A35" s="182">
        <v>22</v>
      </c>
      <c r="B35" s="341" t="s">
        <v>362</v>
      </c>
      <c r="C35" s="207"/>
      <c r="D35" s="207"/>
      <c r="E35" s="207"/>
      <c r="F35" s="207"/>
      <c r="G35" s="207"/>
      <c r="H35" s="207"/>
      <c r="I35" s="207">
        <f t="shared" si="11"/>
        <v>123.902348</v>
      </c>
      <c r="J35" s="207"/>
      <c r="K35" s="207">
        <v>123.902348</v>
      </c>
      <c r="L35" s="207">
        <f t="shared" si="12"/>
        <v>0</v>
      </c>
      <c r="M35" s="207"/>
      <c r="N35" s="207"/>
      <c r="O35" s="207">
        <f t="shared" si="13"/>
        <v>123.902348</v>
      </c>
      <c r="P35" s="207"/>
      <c r="Q35" s="207">
        <v>123.902348</v>
      </c>
      <c r="R35" s="207"/>
      <c r="S35" s="207"/>
      <c r="T35" s="207"/>
      <c r="U35" s="207"/>
      <c r="V35" s="207"/>
      <c r="W35" s="207"/>
      <c r="X35" s="207"/>
      <c r="Y35" s="207"/>
      <c r="Z35" s="181"/>
      <c r="AA35" s="207"/>
      <c r="AB35" s="337"/>
      <c r="AC35" s="337"/>
    </row>
    <row r="36" spans="1:29" ht="33" customHeight="1">
      <c r="A36" s="182">
        <v>23</v>
      </c>
      <c r="B36" s="341" t="s">
        <v>363</v>
      </c>
      <c r="C36" s="207"/>
      <c r="D36" s="207"/>
      <c r="E36" s="207"/>
      <c r="F36" s="207"/>
      <c r="G36" s="207"/>
      <c r="H36" s="207"/>
      <c r="I36" s="207">
        <f t="shared" si="11"/>
        <v>49.344</v>
      </c>
      <c r="J36" s="207"/>
      <c r="K36" s="207">
        <v>49.344</v>
      </c>
      <c r="L36" s="207">
        <f t="shared" si="12"/>
        <v>0</v>
      </c>
      <c r="M36" s="207"/>
      <c r="N36" s="207"/>
      <c r="O36" s="207">
        <f t="shared" si="13"/>
        <v>49.344</v>
      </c>
      <c r="P36" s="207"/>
      <c r="Q36" s="207">
        <v>49.344</v>
      </c>
      <c r="R36" s="207"/>
      <c r="S36" s="207"/>
      <c r="T36" s="207"/>
      <c r="U36" s="207"/>
      <c r="V36" s="207"/>
      <c r="W36" s="207"/>
      <c r="X36" s="207"/>
      <c r="Y36" s="207"/>
      <c r="Z36" s="181"/>
      <c r="AA36" s="207"/>
      <c r="AB36" s="337"/>
      <c r="AC36" s="337"/>
    </row>
    <row r="37" spans="1:29" ht="18" customHeight="1">
      <c r="A37" s="182">
        <v>23</v>
      </c>
      <c r="B37" s="341" t="s">
        <v>258</v>
      </c>
      <c r="C37" s="207"/>
      <c r="D37" s="207"/>
      <c r="E37" s="207"/>
      <c r="F37" s="207"/>
      <c r="G37" s="207"/>
      <c r="H37" s="207"/>
      <c r="I37" s="207">
        <f t="shared" si="11"/>
        <v>329365.407798</v>
      </c>
      <c r="J37" s="207">
        <f>'[2]55. ND 31. Chi DTXD don vi'!C25</f>
        <v>278982.91394999996</v>
      </c>
      <c r="K37" s="207">
        <f>34852.493848-N37</f>
        <v>34425.993848</v>
      </c>
      <c r="L37" s="207">
        <f t="shared" si="12"/>
        <v>15956.5</v>
      </c>
      <c r="M37" s="181">
        <f>15530</f>
        <v>15530</v>
      </c>
      <c r="N37" s="207">
        <f>226.5+200</f>
        <v>426.5</v>
      </c>
      <c r="O37" s="207">
        <f t="shared" si="13"/>
        <v>72151.731178</v>
      </c>
      <c r="P37" s="207">
        <f>8031.251578+8391.179+17759.982+6808.029</f>
        <v>40990.441578000005</v>
      </c>
      <c r="Q37" s="207">
        <f>32481.5805-200-1320.2909</f>
        <v>30961.2896</v>
      </c>
      <c r="R37" s="207">
        <f t="shared" si="6"/>
        <v>200</v>
      </c>
      <c r="S37" s="207"/>
      <c r="T37" s="207">
        <v>200</v>
      </c>
      <c r="U37" s="207">
        <f>13027.2052+290327.847751+5530+171248.990154+218607</f>
        <v>698741.043105</v>
      </c>
      <c r="V37" s="207">
        <f t="shared" si="7"/>
        <v>21.90628689891159</v>
      </c>
      <c r="W37" s="207"/>
      <c r="X37" s="207">
        <f>+(Q37/(K37+E37))*100</f>
        <v>89.93579019592696</v>
      </c>
      <c r="Y37" s="207"/>
      <c r="Z37" s="181"/>
      <c r="AA37" s="207"/>
      <c r="AB37" s="337"/>
      <c r="AC37" s="337"/>
    </row>
    <row r="38" spans="1:29" ht="15.75">
      <c r="A38" s="190" t="s">
        <v>364</v>
      </c>
      <c r="B38" s="188" t="s">
        <v>365</v>
      </c>
      <c r="C38" s="208">
        <f>SUM(C39:C105)</f>
        <v>0</v>
      </c>
      <c r="D38" s="208">
        <f>SUM(D39:D105)</f>
        <v>0</v>
      </c>
      <c r="E38" s="208"/>
      <c r="F38" s="208">
        <f aca="true" t="shared" si="14" ref="F38:U38">SUM(F39:F105)</f>
        <v>0</v>
      </c>
      <c r="G38" s="208">
        <f t="shared" si="14"/>
        <v>0</v>
      </c>
      <c r="H38" s="208">
        <f t="shared" si="14"/>
        <v>0</v>
      </c>
      <c r="I38" s="208">
        <f t="shared" si="14"/>
        <v>285207.38117199996</v>
      </c>
      <c r="J38" s="208">
        <f t="shared" si="14"/>
        <v>0</v>
      </c>
      <c r="K38" s="208">
        <f t="shared" si="14"/>
        <v>285137.38117199996</v>
      </c>
      <c r="L38" s="208">
        <f t="shared" si="14"/>
        <v>70.00000000000003</v>
      </c>
      <c r="M38" s="208">
        <f t="shared" si="14"/>
        <v>0</v>
      </c>
      <c r="N38" s="208">
        <f t="shared" si="14"/>
        <v>70.00000000000003</v>
      </c>
      <c r="O38" s="208">
        <f t="shared" si="14"/>
        <v>285207.38117199996</v>
      </c>
      <c r="P38" s="208">
        <f t="shared" si="14"/>
        <v>0</v>
      </c>
      <c r="Q38" s="208">
        <f t="shared" si="14"/>
        <v>285137.38117199996</v>
      </c>
      <c r="R38" s="208">
        <f t="shared" si="14"/>
        <v>70.00000000000003</v>
      </c>
      <c r="S38" s="208">
        <f t="shared" si="14"/>
        <v>0</v>
      </c>
      <c r="T38" s="208">
        <f t="shared" si="14"/>
        <v>70.00000000000003</v>
      </c>
      <c r="U38" s="208">
        <f t="shared" si="14"/>
        <v>12.38</v>
      </c>
      <c r="V38" s="208">
        <f>+O38/I38*100</f>
        <v>100</v>
      </c>
      <c r="W38" s="208"/>
      <c r="X38" s="208">
        <v>100</v>
      </c>
      <c r="Y38" s="208">
        <v>100</v>
      </c>
      <c r="Z38" s="189">
        <f>SUM(Z39:Z105)</f>
        <v>0</v>
      </c>
      <c r="AA38" s="208">
        <v>100</v>
      </c>
      <c r="AB38" s="337"/>
      <c r="AC38" s="337"/>
    </row>
    <row r="39" spans="1:29" ht="15.75">
      <c r="A39" s="182">
        <v>1</v>
      </c>
      <c r="B39" s="344" t="s">
        <v>366</v>
      </c>
      <c r="C39" s="207"/>
      <c r="D39" s="207"/>
      <c r="E39" s="207"/>
      <c r="F39" s="207"/>
      <c r="G39" s="207"/>
      <c r="H39" s="207"/>
      <c r="I39" s="207">
        <f t="shared" si="11"/>
        <v>3421.502943</v>
      </c>
      <c r="J39" s="207"/>
      <c r="K39" s="207">
        <f>3421.502943-L39</f>
        <v>3419.902943</v>
      </c>
      <c r="L39" s="207">
        <f t="shared" si="12"/>
        <v>1.6</v>
      </c>
      <c r="M39" s="207"/>
      <c r="N39" s="207">
        <v>1.6</v>
      </c>
      <c r="O39" s="207">
        <f>+P39+Q39+R39</f>
        <v>3421.502943</v>
      </c>
      <c r="P39" s="207"/>
      <c r="Q39" s="207">
        <f>3421.502943-R39</f>
        <v>3419.902943</v>
      </c>
      <c r="R39" s="207">
        <f aca="true" t="shared" si="15" ref="R39:R102">+S39+T39</f>
        <v>1.6</v>
      </c>
      <c r="S39" s="207"/>
      <c r="T39" s="207">
        <v>1.6</v>
      </c>
      <c r="U39" s="207"/>
      <c r="V39" s="207">
        <f>+O39/I39*100</f>
        <v>100</v>
      </c>
      <c r="W39" s="207"/>
      <c r="X39" s="207">
        <f>+Q39/K39*100</f>
        <v>100</v>
      </c>
      <c r="Y39" s="207">
        <f>+R39/L39*100</f>
        <v>100</v>
      </c>
      <c r="Z39" s="181"/>
      <c r="AA39" s="207">
        <f>+T39/N39*100</f>
        <v>100</v>
      </c>
      <c r="AB39" s="337"/>
      <c r="AC39" s="337">
        <v>2000</v>
      </c>
    </row>
    <row r="40" spans="1:29" ht="15.75">
      <c r="A40" s="182">
        <v>2</v>
      </c>
      <c r="B40" s="344" t="s">
        <v>367</v>
      </c>
      <c r="C40" s="207"/>
      <c r="D40" s="207"/>
      <c r="E40" s="207"/>
      <c r="F40" s="207"/>
      <c r="G40" s="207"/>
      <c r="H40" s="207"/>
      <c r="I40" s="207">
        <f t="shared" si="11"/>
        <v>4269.452</v>
      </c>
      <c r="J40" s="207"/>
      <c r="K40" s="207">
        <v>4269.452</v>
      </c>
      <c r="L40" s="207">
        <f t="shared" si="12"/>
        <v>0</v>
      </c>
      <c r="M40" s="207"/>
      <c r="N40" s="207"/>
      <c r="O40" s="207">
        <f aca="true" t="shared" si="16" ref="O40:O103">+P40+Q40+R40</f>
        <v>4269.452</v>
      </c>
      <c r="P40" s="207"/>
      <c r="Q40" s="207">
        <v>4269.452</v>
      </c>
      <c r="R40" s="207">
        <f t="shared" si="15"/>
        <v>0</v>
      </c>
      <c r="S40" s="207"/>
      <c r="T40" s="207"/>
      <c r="U40" s="207"/>
      <c r="V40" s="207">
        <f aca="true" t="shared" si="17" ref="V40:V103">+O40/I40*100</f>
        <v>100</v>
      </c>
      <c r="W40" s="207"/>
      <c r="X40" s="207">
        <f aca="true" t="shared" si="18" ref="X40:Y55">+Q40/K40*100</f>
        <v>100</v>
      </c>
      <c r="Y40" s="207"/>
      <c r="Z40" s="181"/>
      <c r="AA40" s="207"/>
      <c r="AB40" s="337"/>
      <c r="AC40" s="337"/>
    </row>
    <row r="41" spans="1:29" ht="15.75">
      <c r="A41" s="182">
        <v>3</v>
      </c>
      <c r="B41" s="344" t="s">
        <v>368</v>
      </c>
      <c r="C41" s="207"/>
      <c r="D41" s="207"/>
      <c r="E41" s="207"/>
      <c r="F41" s="207"/>
      <c r="G41" s="207"/>
      <c r="H41" s="207"/>
      <c r="I41" s="207">
        <f t="shared" si="11"/>
        <v>4130.60641</v>
      </c>
      <c r="J41" s="207"/>
      <c r="K41" s="207">
        <f>4130.60641-L41</f>
        <v>4128.706410000001</v>
      </c>
      <c r="L41" s="207">
        <f t="shared" si="12"/>
        <v>1.9</v>
      </c>
      <c r="M41" s="207"/>
      <c r="N41" s="207">
        <v>1.9</v>
      </c>
      <c r="O41" s="207">
        <f t="shared" si="16"/>
        <v>4130.60641</v>
      </c>
      <c r="P41" s="207"/>
      <c r="Q41" s="207">
        <f>4130.60641-R41</f>
        <v>4128.706410000001</v>
      </c>
      <c r="R41" s="207">
        <f t="shared" si="15"/>
        <v>1.9</v>
      </c>
      <c r="S41" s="207"/>
      <c r="T41" s="207">
        <v>1.9</v>
      </c>
      <c r="U41" s="207"/>
      <c r="V41" s="207">
        <f t="shared" si="17"/>
        <v>100</v>
      </c>
      <c r="W41" s="207"/>
      <c r="X41" s="207">
        <f t="shared" si="18"/>
        <v>100</v>
      </c>
      <c r="Y41" s="207">
        <f>+R41/L41*100</f>
        <v>100</v>
      </c>
      <c r="Z41" s="181"/>
      <c r="AA41" s="207">
        <f aca="true" t="shared" si="19" ref="AA41:AA104">+T41/N41*100</f>
        <v>100</v>
      </c>
      <c r="AB41" s="337"/>
      <c r="AC41" s="337"/>
    </row>
    <row r="42" spans="1:29" ht="15.75">
      <c r="A42" s="182">
        <v>4</v>
      </c>
      <c r="B42" s="344" t="s">
        <v>369</v>
      </c>
      <c r="C42" s="207"/>
      <c r="D42" s="207"/>
      <c r="E42" s="207"/>
      <c r="F42" s="207"/>
      <c r="G42" s="207"/>
      <c r="H42" s="207"/>
      <c r="I42" s="207">
        <f t="shared" si="11"/>
        <v>2868.615898</v>
      </c>
      <c r="J42" s="207"/>
      <c r="K42" s="207">
        <v>2868.615898</v>
      </c>
      <c r="L42" s="207">
        <f t="shared" si="12"/>
        <v>0</v>
      </c>
      <c r="M42" s="207"/>
      <c r="N42" s="207"/>
      <c r="O42" s="207">
        <f t="shared" si="16"/>
        <v>2868.615898</v>
      </c>
      <c r="P42" s="207"/>
      <c r="Q42" s="207">
        <v>2868.615898</v>
      </c>
      <c r="R42" s="207">
        <f t="shared" si="15"/>
        <v>0</v>
      </c>
      <c r="S42" s="207"/>
      <c r="T42" s="207"/>
      <c r="U42" s="207"/>
      <c r="V42" s="207">
        <f t="shared" si="17"/>
        <v>100</v>
      </c>
      <c r="W42" s="207"/>
      <c r="X42" s="207">
        <f t="shared" si="18"/>
        <v>100</v>
      </c>
      <c r="Y42" s="207"/>
      <c r="Z42" s="181"/>
      <c r="AA42" s="207"/>
      <c r="AB42" s="337"/>
      <c r="AC42" s="337">
        <f>76216.087+27831.08603</f>
        <v>104047.17303</v>
      </c>
    </row>
    <row r="43" spans="1:29" ht="15.75">
      <c r="A43" s="182">
        <v>5</v>
      </c>
      <c r="B43" s="344" t="s">
        <v>370</v>
      </c>
      <c r="C43" s="207"/>
      <c r="D43" s="207"/>
      <c r="E43" s="207"/>
      <c r="F43" s="207"/>
      <c r="G43" s="207"/>
      <c r="H43" s="207"/>
      <c r="I43" s="207">
        <f t="shared" si="11"/>
        <v>2309.878531</v>
      </c>
      <c r="J43" s="207"/>
      <c r="K43" s="207">
        <v>2309.878531</v>
      </c>
      <c r="L43" s="207">
        <f t="shared" si="12"/>
        <v>0</v>
      </c>
      <c r="M43" s="207"/>
      <c r="N43" s="207"/>
      <c r="O43" s="207">
        <f t="shared" si="16"/>
        <v>2309.878531</v>
      </c>
      <c r="P43" s="207"/>
      <c r="Q43" s="207">
        <v>2309.878531</v>
      </c>
      <c r="R43" s="207">
        <f t="shared" si="15"/>
        <v>0</v>
      </c>
      <c r="S43" s="207"/>
      <c r="T43" s="207"/>
      <c r="U43" s="207"/>
      <c r="V43" s="207">
        <f t="shared" si="17"/>
        <v>100</v>
      </c>
      <c r="W43" s="207"/>
      <c r="X43" s="207">
        <f t="shared" si="18"/>
        <v>100</v>
      </c>
      <c r="Y43" s="207"/>
      <c r="Z43" s="181"/>
      <c r="AA43" s="207"/>
      <c r="AB43" s="337"/>
      <c r="AC43" s="337">
        <f>790.224314+442.093</f>
        <v>1232.3173140000001</v>
      </c>
    </row>
    <row r="44" spans="1:29" ht="15.75">
      <c r="A44" s="182">
        <v>6</v>
      </c>
      <c r="B44" s="344" t="s">
        <v>371</v>
      </c>
      <c r="C44" s="207"/>
      <c r="D44" s="207"/>
      <c r="E44" s="207"/>
      <c r="F44" s="207"/>
      <c r="G44" s="207"/>
      <c r="H44" s="207"/>
      <c r="I44" s="207">
        <f t="shared" si="11"/>
        <v>2262.02</v>
      </c>
      <c r="J44" s="207"/>
      <c r="K44" s="207">
        <v>2262.02</v>
      </c>
      <c r="L44" s="207">
        <f t="shared" si="12"/>
        <v>0</v>
      </c>
      <c r="M44" s="207"/>
      <c r="N44" s="207"/>
      <c r="O44" s="207">
        <f t="shared" si="16"/>
        <v>2262.02</v>
      </c>
      <c r="P44" s="207"/>
      <c r="Q44" s="207">
        <v>2262.02</v>
      </c>
      <c r="R44" s="207">
        <f t="shared" si="15"/>
        <v>0</v>
      </c>
      <c r="S44" s="207"/>
      <c r="T44" s="207"/>
      <c r="U44" s="207"/>
      <c r="V44" s="207">
        <f t="shared" si="17"/>
        <v>100</v>
      </c>
      <c r="W44" s="207"/>
      <c r="X44" s="207">
        <f t="shared" si="18"/>
        <v>100</v>
      </c>
      <c r="Y44" s="207"/>
      <c r="Z44" s="181"/>
      <c r="AA44" s="207"/>
      <c r="AB44" s="337"/>
      <c r="AC44" s="337"/>
    </row>
    <row r="45" spans="1:29" ht="15.75">
      <c r="A45" s="182">
        <v>7</v>
      </c>
      <c r="B45" s="344" t="s">
        <v>372</v>
      </c>
      <c r="C45" s="207"/>
      <c r="D45" s="207"/>
      <c r="E45" s="207"/>
      <c r="F45" s="207"/>
      <c r="G45" s="207"/>
      <c r="H45" s="207"/>
      <c r="I45" s="207">
        <f t="shared" si="11"/>
        <v>3179.67</v>
      </c>
      <c r="J45" s="207"/>
      <c r="K45" s="207">
        <v>3179.67</v>
      </c>
      <c r="L45" s="207">
        <f t="shared" si="12"/>
        <v>0</v>
      </c>
      <c r="M45" s="207"/>
      <c r="N45" s="207"/>
      <c r="O45" s="207">
        <f t="shared" si="16"/>
        <v>3179.67</v>
      </c>
      <c r="P45" s="207"/>
      <c r="Q45" s="207">
        <v>3179.67</v>
      </c>
      <c r="R45" s="207">
        <f t="shared" si="15"/>
        <v>0</v>
      </c>
      <c r="S45" s="207"/>
      <c r="T45" s="207"/>
      <c r="U45" s="207"/>
      <c r="V45" s="207">
        <f t="shared" si="17"/>
        <v>100</v>
      </c>
      <c r="W45" s="207"/>
      <c r="X45" s="207">
        <f t="shared" si="18"/>
        <v>100</v>
      </c>
      <c r="Y45" s="207"/>
      <c r="Z45" s="181"/>
      <c r="AA45" s="207"/>
      <c r="AB45" s="337">
        <f>11755.84795</f>
        <v>11755.84795</v>
      </c>
      <c r="AC45" s="337">
        <f>32273+184159.087488</f>
        <v>216432.087488</v>
      </c>
    </row>
    <row r="46" spans="1:27" ht="15.75">
      <c r="A46" s="182">
        <v>8</v>
      </c>
      <c r="B46" s="344" t="s">
        <v>373</v>
      </c>
      <c r="C46" s="207"/>
      <c r="D46" s="207"/>
      <c r="E46" s="207"/>
      <c r="F46" s="207"/>
      <c r="G46" s="207"/>
      <c r="H46" s="207"/>
      <c r="I46" s="207">
        <f t="shared" si="11"/>
        <v>3248.926229</v>
      </c>
      <c r="J46" s="207"/>
      <c r="K46" s="207">
        <v>3248.926229</v>
      </c>
      <c r="L46" s="207">
        <f t="shared" si="12"/>
        <v>0</v>
      </c>
      <c r="M46" s="207"/>
      <c r="N46" s="207"/>
      <c r="O46" s="207">
        <f t="shared" si="16"/>
        <v>3248.926229</v>
      </c>
      <c r="P46" s="207"/>
      <c r="Q46" s="207">
        <v>3248.926229</v>
      </c>
      <c r="R46" s="207">
        <f t="shared" si="15"/>
        <v>0</v>
      </c>
      <c r="S46" s="207"/>
      <c r="T46" s="207"/>
      <c r="U46" s="207">
        <v>1.068</v>
      </c>
      <c r="V46" s="207">
        <f t="shared" si="17"/>
        <v>100</v>
      </c>
      <c r="W46" s="207"/>
      <c r="X46" s="207">
        <f t="shared" si="18"/>
        <v>100</v>
      </c>
      <c r="Y46" s="207"/>
      <c r="Z46" s="181"/>
      <c r="AA46" s="207"/>
    </row>
    <row r="47" spans="1:27" ht="15.75">
      <c r="A47" s="182">
        <v>9</v>
      </c>
      <c r="B47" s="344" t="s">
        <v>374</v>
      </c>
      <c r="C47" s="207"/>
      <c r="D47" s="207"/>
      <c r="E47" s="207"/>
      <c r="F47" s="207"/>
      <c r="G47" s="207"/>
      <c r="H47" s="207"/>
      <c r="I47" s="207">
        <f t="shared" si="11"/>
        <v>2494.818</v>
      </c>
      <c r="J47" s="207"/>
      <c r="K47" s="207">
        <f>2494.818-L47</f>
        <v>2493.418</v>
      </c>
      <c r="L47" s="207">
        <f t="shared" si="12"/>
        <v>1.4</v>
      </c>
      <c r="M47" s="207"/>
      <c r="N47" s="207">
        <v>1.4</v>
      </c>
      <c r="O47" s="207">
        <f t="shared" si="16"/>
        <v>2494.818</v>
      </c>
      <c r="P47" s="207"/>
      <c r="Q47" s="207">
        <f>2494.818-R47</f>
        <v>2493.418</v>
      </c>
      <c r="R47" s="207">
        <f t="shared" si="15"/>
        <v>1.4</v>
      </c>
      <c r="S47" s="207"/>
      <c r="T47" s="207">
        <v>1.4</v>
      </c>
      <c r="U47" s="207"/>
      <c r="V47" s="207">
        <f t="shared" si="17"/>
        <v>100</v>
      </c>
      <c r="W47" s="207"/>
      <c r="X47" s="207">
        <f t="shared" si="18"/>
        <v>100</v>
      </c>
      <c r="Y47" s="207">
        <f t="shared" si="18"/>
        <v>100</v>
      </c>
      <c r="Z47" s="181"/>
      <c r="AA47" s="207">
        <f t="shared" si="19"/>
        <v>100</v>
      </c>
    </row>
    <row r="48" spans="1:27" ht="15.75">
      <c r="A48" s="182">
        <v>10</v>
      </c>
      <c r="B48" s="344" t="s">
        <v>375</v>
      </c>
      <c r="C48" s="207"/>
      <c r="D48" s="207"/>
      <c r="E48" s="207"/>
      <c r="F48" s="207"/>
      <c r="G48" s="207"/>
      <c r="H48" s="207"/>
      <c r="I48" s="207">
        <f t="shared" si="11"/>
        <v>1959.98</v>
      </c>
      <c r="J48" s="207"/>
      <c r="K48" s="207">
        <v>1958.78</v>
      </c>
      <c r="L48" s="207">
        <f t="shared" si="12"/>
        <v>1.2</v>
      </c>
      <c r="M48" s="207"/>
      <c r="N48" s="207">
        <v>1.2</v>
      </c>
      <c r="O48" s="207">
        <f t="shared" si="16"/>
        <v>1959.98</v>
      </c>
      <c r="P48" s="207"/>
      <c r="Q48" s="207">
        <v>1958.78</v>
      </c>
      <c r="R48" s="207">
        <f t="shared" si="15"/>
        <v>1.2</v>
      </c>
      <c r="S48" s="207"/>
      <c r="T48" s="207">
        <v>1.2</v>
      </c>
      <c r="U48" s="207"/>
      <c r="V48" s="207">
        <f t="shared" si="17"/>
        <v>100</v>
      </c>
      <c r="W48" s="207"/>
      <c r="X48" s="207">
        <f t="shared" si="18"/>
        <v>100</v>
      </c>
      <c r="Y48" s="207">
        <f t="shared" si="18"/>
        <v>100</v>
      </c>
      <c r="Z48" s="181"/>
      <c r="AA48" s="207">
        <f t="shared" si="19"/>
        <v>100</v>
      </c>
    </row>
    <row r="49" spans="1:27" ht="15.75">
      <c r="A49" s="182">
        <v>11</v>
      </c>
      <c r="B49" s="344" t="s">
        <v>376</v>
      </c>
      <c r="C49" s="207"/>
      <c r="D49" s="207"/>
      <c r="E49" s="207"/>
      <c r="F49" s="207"/>
      <c r="G49" s="207"/>
      <c r="H49" s="207"/>
      <c r="I49" s="207">
        <f t="shared" si="11"/>
        <v>2043.621</v>
      </c>
      <c r="J49" s="207"/>
      <c r="K49" s="207">
        <v>2042.221</v>
      </c>
      <c r="L49" s="207">
        <f t="shared" si="12"/>
        <v>1.4</v>
      </c>
      <c r="M49" s="207"/>
      <c r="N49" s="207">
        <v>1.4</v>
      </c>
      <c r="O49" s="207">
        <f t="shared" si="16"/>
        <v>2043.621</v>
      </c>
      <c r="P49" s="207"/>
      <c r="Q49" s="207">
        <v>2042.221</v>
      </c>
      <c r="R49" s="207">
        <f t="shared" si="15"/>
        <v>1.4</v>
      </c>
      <c r="S49" s="207"/>
      <c r="T49" s="207">
        <v>1.4</v>
      </c>
      <c r="U49" s="207"/>
      <c r="V49" s="207">
        <f t="shared" si="17"/>
        <v>100</v>
      </c>
      <c r="W49" s="207"/>
      <c r="X49" s="207">
        <f t="shared" si="18"/>
        <v>100</v>
      </c>
      <c r="Y49" s="207">
        <f t="shared" si="18"/>
        <v>100</v>
      </c>
      <c r="Z49" s="181"/>
      <c r="AA49" s="207">
        <f t="shared" si="19"/>
        <v>100</v>
      </c>
    </row>
    <row r="50" spans="1:27" ht="15.75">
      <c r="A50" s="182">
        <v>12</v>
      </c>
      <c r="B50" s="344" t="s">
        <v>377</v>
      </c>
      <c r="C50" s="207"/>
      <c r="D50" s="207"/>
      <c r="E50" s="207"/>
      <c r="F50" s="207"/>
      <c r="G50" s="207"/>
      <c r="H50" s="207"/>
      <c r="I50" s="207">
        <f t="shared" si="11"/>
        <v>3013.159</v>
      </c>
      <c r="J50" s="207"/>
      <c r="K50" s="207">
        <v>3011.4590000000003</v>
      </c>
      <c r="L50" s="207">
        <f t="shared" si="12"/>
        <v>1.7</v>
      </c>
      <c r="M50" s="207"/>
      <c r="N50" s="207">
        <v>1.7</v>
      </c>
      <c r="O50" s="207">
        <f t="shared" si="16"/>
        <v>3013.159</v>
      </c>
      <c r="P50" s="207"/>
      <c r="Q50" s="207">
        <v>3011.4590000000003</v>
      </c>
      <c r="R50" s="207">
        <f t="shared" si="15"/>
        <v>1.7</v>
      </c>
      <c r="S50" s="207"/>
      <c r="T50" s="207">
        <v>1.7</v>
      </c>
      <c r="U50" s="207"/>
      <c r="V50" s="207">
        <f t="shared" si="17"/>
        <v>100</v>
      </c>
      <c r="W50" s="207"/>
      <c r="X50" s="207">
        <f t="shared" si="18"/>
        <v>100</v>
      </c>
      <c r="Y50" s="207">
        <f t="shared" si="18"/>
        <v>100</v>
      </c>
      <c r="Z50" s="181"/>
      <c r="AA50" s="207">
        <f t="shared" si="19"/>
        <v>100</v>
      </c>
    </row>
    <row r="51" spans="1:27" ht="15.75">
      <c r="A51" s="182">
        <v>13</v>
      </c>
      <c r="B51" s="344" t="s">
        <v>378</v>
      </c>
      <c r="C51" s="207"/>
      <c r="D51" s="207"/>
      <c r="E51" s="207"/>
      <c r="F51" s="207"/>
      <c r="G51" s="207"/>
      <c r="H51" s="207"/>
      <c r="I51" s="207">
        <f t="shared" si="11"/>
        <v>2769.8414</v>
      </c>
      <c r="J51" s="207"/>
      <c r="K51" s="207">
        <v>2768.5413999999996</v>
      </c>
      <c r="L51" s="207">
        <f t="shared" si="12"/>
        <v>1.3</v>
      </c>
      <c r="M51" s="207"/>
      <c r="N51" s="207">
        <v>1.3</v>
      </c>
      <c r="O51" s="207">
        <f t="shared" si="16"/>
        <v>2769.8414</v>
      </c>
      <c r="P51" s="207"/>
      <c r="Q51" s="207">
        <v>2768.5413999999996</v>
      </c>
      <c r="R51" s="207">
        <f t="shared" si="15"/>
        <v>1.3</v>
      </c>
      <c r="S51" s="207"/>
      <c r="T51" s="207">
        <v>1.3</v>
      </c>
      <c r="U51" s="207">
        <v>5.44</v>
      </c>
      <c r="V51" s="207">
        <f t="shared" si="17"/>
        <v>100</v>
      </c>
      <c r="W51" s="207"/>
      <c r="X51" s="207">
        <f t="shared" si="18"/>
        <v>100</v>
      </c>
      <c r="Y51" s="207">
        <f t="shared" si="18"/>
        <v>100</v>
      </c>
      <c r="Z51" s="181"/>
      <c r="AA51" s="207">
        <f t="shared" si="19"/>
        <v>100</v>
      </c>
    </row>
    <row r="52" spans="1:27" ht="15.75">
      <c r="A52" s="182">
        <v>14</v>
      </c>
      <c r="B52" s="344" t="s">
        <v>379</v>
      </c>
      <c r="C52" s="207"/>
      <c r="D52" s="207"/>
      <c r="E52" s="207"/>
      <c r="F52" s="207"/>
      <c r="G52" s="207"/>
      <c r="H52" s="207"/>
      <c r="I52" s="207">
        <f t="shared" si="11"/>
        <v>3542.97</v>
      </c>
      <c r="J52" s="207"/>
      <c r="K52" s="207">
        <v>3541.27</v>
      </c>
      <c r="L52" s="207">
        <f t="shared" si="12"/>
        <v>1.7</v>
      </c>
      <c r="M52" s="207"/>
      <c r="N52" s="207">
        <v>1.7</v>
      </c>
      <c r="O52" s="207">
        <f t="shared" si="16"/>
        <v>3542.97</v>
      </c>
      <c r="P52" s="207"/>
      <c r="Q52" s="207">
        <v>3541.27</v>
      </c>
      <c r="R52" s="207">
        <f t="shared" si="15"/>
        <v>1.7</v>
      </c>
      <c r="S52" s="207"/>
      <c r="T52" s="207">
        <v>1.7</v>
      </c>
      <c r="U52" s="207"/>
      <c r="V52" s="207">
        <f t="shared" si="17"/>
        <v>100</v>
      </c>
      <c r="W52" s="207"/>
      <c r="X52" s="207">
        <f t="shared" si="18"/>
        <v>100</v>
      </c>
      <c r="Y52" s="207">
        <f t="shared" si="18"/>
        <v>100</v>
      </c>
      <c r="Z52" s="181"/>
      <c r="AA52" s="207">
        <f t="shared" si="19"/>
        <v>100</v>
      </c>
    </row>
    <row r="53" spans="1:27" s="63" customFormat="1" ht="15.75">
      <c r="A53" s="182">
        <v>15</v>
      </c>
      <c r="B53" s="344" t="s">
        <v>380</v>
      </c>
      <c r="C53" s="207"/>
      <c r="D53" s="207"/>
      <c r="E53" s="207"/>
      <c r="F53" s="207"/>
      <c r="G53" s="207"/>
      <c r="H53" s="207"/>
      <c r="I53" s="207">
        <f t="shared" si="11"/>
        <v>3382.834</v>
      </c>
      <c r="J53" s="207"/>
      <c r="K53" s="207">
        <v>3381.134</v>
      </c>
      <c r="L53" s="207">
        <f t="shared" si="12"/>
        <v>1.7</v>
      </c>
      <c r="M53" s="207"/>
      <c r="N53" s="207">
        <v>1.7</v>
      </c>
      <c r="O53" s="207">
        <f t="shared" si="16"/>
        <v>3382.834</v>
      </c>
      <c r="P53" s="207"/>
      <c r="Q53" s="207">
        <v>3381.134</v>
      </c>
      <c r="R53" s="207">
        <f t="shared" si="15"/>
        <v>1.7</v>
      </c>
      <c r="S53" s="207"/>
      <c r="T53" s="207">
        <v>1.7</v>
      </c>
      <c r="U53" s="207"/>
      <c r="V53" s="207">
        <f t="shared" si="17"/>
        <v>100</v>
      </c>
      <c r="W53" s="207"/>
      <c r="X53" s="207">
        <f t="shared" si="18"/>
        <v>100</v>
      </c>
      <c r="Y53" s="207">
        <f t="shared" si="18"/>
        <v>100</v>
      </c>
      <c r="Z53" s="181"/>
      <c r="AA53" s="207">
        <f t="shared" si="19"/>
        <v>100</v>
      </c>
    </row>
    <row r="54" spans="1:27" s="63" customFormat="1" ht="15.75">
      <c r="A54" s="182">
        <v>16</v>
      </c>
      <c r="B54" s="344" t="s">
        <v>381</v>
      </c>
      <c r="C54" s="207"/>
      <c r="D54" s="207"/>
      <c r="E54" s="207"/>
      <c r="F54" s="207"/>
      <c r="G54" s="207"/>
      <c r="H54" s="207"/>
      <c r="I54" s="207">
        <f t="shared" si="11"/>
        <v>3689.781</v>
      </c>
      <c r="J54" s="207"/>
      <c r="K54" s="207">
        <v>3688.081</v>
      </c>
      <c r="L54" s="207">
        <f t="shared" si="12"/>
        <v>1.7</v>
      </c>
      <c r="M54" s="207"/>
      <c r="N54" s="207">
        <v>1.7</v>
      </c>
      <c r="O54" s="207">
        <f t="shared" si="16"/>
        <v>3689.781</v>
      </c>
      <c r="P54" s="207"/>
      <c r="Q54" s="207">
        <v>3688.081</v>
      </c>
      <c r="R54" s="207">
        <f t="shared" si="15"/>
        <v>1.7</v>
      </c>
      <c r="S54" s="207"/>
      <c r="T54" s="207">
        <v>1.7</v>
      </c>
      <c r="U54" s="207">
        <v>3.681</v>
      </c>
      <c r="V54" s="207">
        <f t="shared" si="17"/>
        <v>100</v>
      </c>
      <c r="W54" s="207"/>
      <c r="X54" s="207">
        <f t="shared" si="18"/>
        <v>100</v>
      </c>
      <c r="Y54" s="207">
        <f t="shared" si="18"/>
        <v>100</v>
      </c>
      <c r="Z54" s="181"/>
      <c r="AA54" s="207">
        <f t="shared" si="19"/>
        <v>100</v>
      </c>
    </row>
    <row r="55" spans="1:27" ht="15.75">
      <c r="A55" s="182">
        <v>17</v>
      </c>
      <c r="B55" s="344" t="s">
        <v>382</v>
      </c>
      <c r="C55" s="207"/>
      <c r="D55" s="207"/>
      <c r="E55" s="207"/>
      <c r="F55" s="207"/>
      <c r="G55" s="207"/>
      <c r="H55" s="207"/>
      <c r="I55" s="207">
        <f t="shared" si="11"/>
        <v>2568.611</v>
      </c>
      <c r="J55" s="207"/>
      <c r="K55" s="207">
        <v>2567.111</v>
      </c>
      <c r="L55" s="207">
        <f t="shared" si="12"/>
        <v>1.5</v>
      </c>
      <c r="M55" s="207"/>
      <c r="N55" s="207">
        <v>1.5</v>
      </c>
      <c r="O55" s="207">
        <f t="shared" si="16"/>
        <v>2568.611</v>
      </c>
      <c r="P55" s="207"/>
      <c r="Q55" s="207">
        <v>2567.111</v>
      </c>
      <c r="R55" s="207">
        <f t="shared" si="15"/>
        <v>1.5</v>
      </c>
      <c r="S55" s="207"/>
      <c r="T55" s="207">
        <v>1.5</v>
      </c>
      <c r="U55" s="207">
        <v>1.544</v>
      </c>
      <c r="V55" s="207">
        <f t="shared" si="17"/>
        <v>100</v>
      </c>
      <c r="W55" s="207"/>
      <c r="X55" s="207">
        <f t="shared" si="18"/>
        <v>100</v>
      </c>
      <c r="Y55" s="207">
        <f t="shared" si="18"/>
        <v>100</v>
      </c>
      <c r="Z55" s="181"/>
      <c r="AA55" s="207">
        <f t="shared" si="19"/>
        <v>100</v>
      </c>
    </row>
    <row r="56" spans="1:27" ht="15.75">
      <c r="A56" s="182">
        <v>18</v>
      </c>
      <c r="B56" s="344" t="s">
        <v>383</v>
      </c>
      <c r="C56" s="207"/>
      <c r="D56" s="207"/>
      <c r="E56" s="207"/>
      <c r="F56" s="207"/>
      <c r="G56" s="207"/>
      <c r="H56" s="207"/>
      <c r="I56" s="207">
        <f t="shared" si="11"/>
        <v>2114.819</v>
      </c>
      <c r="J56" s="207"/>
      <c r="K56" s="207">
        <v>2113.719</v>
      </c>
      <c r="L56" s="207">
        <f t="shared" si="12"/>
        <v>1.1</v>
      </c>
      <c r="M56" s="207"/>
      <c r="N56" s="207">
        <v>1.1</v>
      </c>
      <c r="O56" s="207">
        <f t="shared" si="16"/>
        <v>2114.819</v>
      </c>
      <c r="P56" s="207"/>
      <c r="Q56" s="207">
        <v>2113.719</v>
      </c>
      <c r="R56" s="207">
        <f t="shared" si="15"/>
        <v>1.1</v>
      </c>
      <c r="S56" s="207"/>
      <c r="T56" s="207">
        <v>1.1</v>
      </c>
      <c r="U56" s="207">
        <v>0.647</v>
      </c>
      <c r="V56" s="207">
        <f t="shared" si="17"/>
        <v>100</v>
      </c>
      <c r="W56" s="207"/>
      <c r="X56" s="207">
        <f aca="true" t="shared" si="20" ref="X56:Y105">+Q56/K56*100</f>
        <v>100</v>
      </c>
      <c r="Y56" s="207">
        <f t="shared" si="20"/>
        <v>100</v>
      </c>
      <c r="Z56" s="181"/>
      <c r="AA56" s="207">
        <f t="shared" si="19"/>
        <v>100</v>
      </c>
    </row>
    <row r="57" spans="1:27" ht="15.75">
      <c r="A57" s="182">
        <v>19</v>
      </c>
      <c r="B57" s="344" t="s">
        <v>384</v>
      </c>
      <c r="C57" s="207"/>
      <c r="D57" s="207"/>
      <c r="E57" s="207"/>
      <c r="F57" s="207"/>
      <c r="G57" s="207"/>
      <c r="H57" s="207"/>
      <c r="I57" s="207">
        <f t="shared" si="11"/>
        <v>2631.600647</v>
      </c>
      <c r="J57" s="207"/>
      <c r="K57" s="207">
        <v>2629.9006470000004</v>
      </c>
      <c r="L57" s="207">
        <f t="shared" si="12"/>
        <v>1.7</v>
      </c>
      <c r="M57" s="207"/>
      <c r="N57" s="207">
        <v>1.7</v>
      </c>
      <c r="O57" s="207">
        <f t="shared" si="16"/>
        <v>2631.600647</v>
      </c>
      <c r="P57" s="207"/>
      <c r="Q57" s="207">
        <v>2629.9006470000004</v>
      </c>
      <c r="R57" s="207">
        <f t="shared" si="15"/>
        <v>1.7</v>
      </c>
      <c r="S57" s="207"/>
      <c r="T57" s="207">
        <v>1.7</v>
      </c>
      <c r="U57" s="207"/>
      <c r="V57" s="207">
        <f t="shared" si="17"/>
        <v>100</v>
      </c>
      <c r="W57" s="207"/>
      <c r="X57" s="207">
        <f t="shared" si="20"/>
        <v>100</v>
      </c>
      <c r="Y57" s="207">
        <f t="shared" si="20"/>
        <v>100</v>
      </c>
      <c r="Z57" s="181"/>
      <c r="AA57" s="207">
        <f t="shared" si="19"/>
        <v>100</v>
      </c>
    </row>
    <row r="58" spans="1:27" ht="15.75">
      <c r="A58" s="182">
        <v>20</v>
      </c>
      <c r="B58" s="344" t="s">
        <v>385</v>
      </c>
      <c r="C58" s="207"/>
      <c r="D58" s="207"/>
      <c r="E58" s="207"/>
      <c r="F58" s="207"/>
      <c r="G58" s="207"/>
      <c r="H58" s="207"/>
      <c r="I58" s="207">
        <f t="shared" si="11"/>
        <v>3557.703</v>
      </c>
      <c r="J58" s="207"/>
      <c r="K58" s="207">
        <v>3557.703</v>
      </c>
      <c r="L58" s="207">
        <f t="shared" si="12"/>
        <v>0</v>
      </c>
      <c r="M58" s="207"/>
      <c r="N58" s="207"/>
      <c r="O58" s="207">
        <f t="shared" si="16"/>
        <v>3557.703</v>
      </c>
      <c r="P58" s="207"/>
      <c r="Q58" s="207">
        <v>3557.703</v>
      </c>
      <c r="R58" s="207">
        <f t="shared" si="15"/>
        <v>0</v>
      </c>
      <c r="S58" s="207"/>
      <c r="T58" s="207"/>
      <c r="U58" s="207"/>
      <c r="V58" s="207">
        <f t="shared" si="17"/>
        <v>100</v>
      </c>
      <c r="W58" s="207"/>
      <c r="X58" s="207">
        <f t="shared" si="20"/>
        <v>100</v>
      </c>
      <c r="Y58" s="207"/>
      <c r="Z58" s="181"/>
      <c r="AA58" s="207"/>
    </row>
    <row r="59" spans="1:27" ht="15.75">
      <c r="A59" s="182">
        <v>21</v>
      </c>
      <c r="B59" s="345" t="s">
        <v>386</v>
      </c>
      <c r="C59" s="207"/>
      <c r="D59" s="207"/>
      <c r="E59" s="207"/>
      <c r="F59" s="207"/>
      <c r="G59" s="207"/>
      <c r="H59" s="207"/>
      <c r="I59" s="207">
        <f t="shared" si="11"/>
        <v>7526.504006</v>
      </c>
      <c r="J59" s="207"/>
      <c r="K59" s="207">
        <v>7526.504006</v>
      </c>
      <c r="L59" s="207">
        <f t="shared" si="12"/>
        <v>0</v>
      </c>
      <c r="M59" s="207"/>
      <c r="N59" s="207"/>
      <c r="O59" s="207">
        <f t="shared" si="16"/>
        <v>7526.504006</v>
      </c>
      <c r="P59" s="207"/>
      <c r="Q59" s="207">
        <v>7526.504006</v>
      </c>
      <c r="R59" s="207">
        <f t="shared" si="15"/>
        <v>0</v>
      </c>
      <c r="S59" s="207"/>
      <c r="T59" s="207"/>
      <c r="U59" s="207"/>
      <c r="V59" s="207">
        <f t="shared" si="17"/>
        <v>100</v>
      </c>
      <c r="W59" s="207"/>
      <c r="X59" s="207">
        <f t="shared" si="20"/>
        <v>100</v>
      </c>
      <c r="Y59" s="207"/>
      <c r="Z59" s="181"/>
      <c r="AA59" s="207"/>
    </row>
    <row r="60" spans="1:27" ht="15.75">
      <c r="A60" s="182">
        <v>22</v>
      </c>
      <c r="B60" s="345" t="s">
        <v>387</v>
      </c>
      <c r="C60" s="207"/>
      <c r="D60" s="207"/>
      <c r="E60" s="207"/>
      <c r="F60" s="207"/>
      <c r="G60" s="207"/>
      <c r="H60" s="207"/>
      <c r="I60" s="207">
        <f t="shared" si="11"/>
        <v>4399.342</v>
      </c>
      <c r="J60" s="207"/>
      <c r="K60" s="207">
        <v>4397.741999999999</v>
      </c>
      <c r="L60" s="207">
        <f t="shared" si="12"/>
        <v>1.6</v>
      </c>
      <c r="M60" s="207"/>
      <c r="N60" s="207">
        <v>1.6</v>
      </c>
      <c r="O60" s="207">
        <f t="shared" si="16"/>
        <v>4399.342</v>
      </c>
      <c r="P60" s="207"/>
      <c r="Q60" s="207">
        <v>4397.741999999999</v>
      </c>
      <c r="R60" s="207">
        <f t="shared" si="15"/>
        <v>1.6</v>
      </c>
      <c r="S60" s="207"/>
      <c r="T60" s="207">
        <v>1.6</v>
      </c>
      <c r="U60" s="207"/>
      <c r="V60" s="207">
        <f t="shared" si="17"/>
        <v>100</v>
      </c>
      <c r="W60" s="207"/>
      <c r="X60" s="207">
        <f t="shared" si="20"/>
        <v>100</v>
      </c>
      <c r="Y60" s="207">
        <f t="shared" si="20"/>
        <v>100</v>
      </c>
      <c r="Z60" s="181"/>
      <c r="AA60" s="207">
        <f t="shared" si="19"/>
        <v>100</v>
      </c>
    </row>
    <row r="61" spans="1:27" ht="15.75">
      <c r="A61" s="182">
        <v>23</v>
      </c>
      <c r="B61" s="345" t="s">
        <v>388</v>
      </c>
      <c r="C61" s="207"/>
      <c r="D61" s="207"/>
      <c r="E61" s="207"/>
      <c r="F61" s="207"/>
      <c r="G61" s="207"/>
      <c r="H61" s="207"/>
      <c r="I61" s="207">
        <f t="shared" si="11"/>
        <v>2464.875</v>
      </c>
      <c r="J61" s="207"/>
      <c r="K61" s="207">
        <v>2463.275</v>
      </c>
      <c r="L61" s="207">
        <f t="shared" si="12"/>
        <v>1.6</v>
      </c>
      <c r="M61" s="207"/>
      <c r="N61" s="207">
        <v>1.6</v>
      </c>
      <c r="O61" s="207">
        <f t="shared" si="16"/>
        <v>2464.875</v>
      </c>
      <c r="P61" s="207"/>
      <c r="Q61" s="207">
        <v>2463.275</v>
      </c>
      <c r="R61" s="207">
        <f t="shared" si="15"/>
        <v>1.6</v>
      </c>
      <c r="S61" s="207"/>
      <c r="T61" s="207">
        <v>1.6</v>
      </c>
      <c r="U61" s="207"/>
      <c r="V61" s="207">
        <f t="shared" si="17"/>
        <v>100</v>
      </c>
      <c r="W61" s="207"/>
      <c r="X61" s="207">
        <f t="shared" si="20"/>
        <v>100</v>
      </c>
      <c r="Y61" s="207">
        <f t="shared" si="20"/>
        <v>100</v>
      </c>
      <c r="Z61" s="181"/>
      <c r="AA61" s="207">
        <f t="shared" si="19"/>
        <v>100</v>
      </c>
    </row>
    <row r="62" spans="1:27" ht="15.75">
      <c r="A62" s="182">
        <v>24</v>
      </c>
      <c r="B62" s="345" t="s">
        <v>389</v>
      </c>
      <c r="C62" s="207"/>
      <c r="D62" s="207"/>
      <c r="E62" s="207"/>
      <c r="F62" s="207"/>
      <c r="G62" s="207"/>
      <c r="H62" s="207"/>
      <c r="I62" s="207">
        <f t="shared" si="11"/>
        <v>5141.653272</v>
      </c>
      <c r="J62" s="207"/>
      <c r="K62" s="207">
        <v>5141.653272</v>
      </c>
      <c r="L62" s="207">
        <f t="shared" si="12"/>
        <v>0</v>
      </c>
      <c r="M62" s="207"/>
      <c r="N62" s="207"/>
      <c r="O62" s="207">
        <f t="shared" si="16"/>
        <v>5141.653272</v>
      </c>
      <c r="P62" s="207"/>
      <c r="Q62" s="207">
        <v>5141.653272</v>
      </c>
      <c r="R62" s="207">
        <f t="shared" si="15"/>
        <v>0</v>
      </c>
      <c r="S62" s="207"/>
      <c r="T62" s="207"/>
      <c r="U62" s="207"/>
      <c r="V62" s="207">
        <f t="shared" si="17"/>
        <v>100</v>
      </c>
      <c r="W62" s="207"/>
      <c r="X62" s="207">
        <f t="shared" si="20"/>
        <v>100</v>
      </c>
      <c r="Y62" s="207"/>
      <c r="Z62" s="181"/>
      <c r="AA62" s="207"/>
    </row>
    <row r="63" spans="1:27" ht="15.75">
      <c r="A63" s="182">
        <v>25</v>
      </c>
      <c r="B63" s="345" t="s">
        <v>390</v>
      </c>
      <c r="C63" s="207"/>
      <c r="D63" s="207"/>
      <c r="E63" s="207"/>
      <c r="F63" s="207"/>
      <c r="G63" s="207"/>
      <c r="H63" s="207"/>
      <c r="I63" s="207">
        <f t="shared" si="11"/>
        <v>4047.740373</v>
      </c>
      <c r="J63" s="207"/>
      <c r="K63" s="207">
        <v>4047.740373</v>
      </c>
      <c r="L63" s="207">
        <f t="shared" si="12"/>
        <v>0</v>
      </c>
      <c r="M63" s="207"/>
      <c r="N63" s="207"/>
      <c r="O63" s="207">
        <f t="shared" si="16"/>
        <v>4047.740373</v>
      </c>
      <c r="P63" s="207"/>
      <c r="Q63" s="207">
        <v>4047.740373</v>
      </c>
      <c r="R63" s="207">
        <f t="shared" si="15"/>
        <v>0</v>
      </c>
      <c r="S63" s="207"/>
      <c r="T63" s="207"/>
      <c r="U63" s="207"/>
      <c r="V63" s="207">
        <f t="shared" si="17"/>
        <v>100</v>
      </c>
      <c r="W63" s="207"/>
      <c r="X63" s="207">
        <f t="shared" si="20"/>
        <v>100</v>
      </c>
      <c r="Y63" s="207"/>
      <c r="Z63" s="181"/>
      <c r="AA63" s="207"/>
    </row>
    <row r="64" spans="1:27" ht="15.75">
      <c r="A64" s="182">
        <v>26</v>
      </c>
      <c r="B64" s="345" t="s">
        <v>391</v>
      </c>
      <c r="C64" s="207"/>
      <c r="D64" s="207"/>
      <c r="E64" s="207"/>
      <c r="F64" s="207"/>
      <c r="G64" s="207"/>
      <c r="H64" s="207"/>
      <c r="I64" s="207">
        <f t="shared" si="11"/>
        <v>3615.124072</v>
      </c>
      <c r="J64" s="207"/>
      <c r="K64" s="207">
        <v>3613.224072</v>
      </c>
      <c r="L64" s="207">
        <f t="shared" si="12"/>
        <v>1.9</v>
      </c>
      <c r="M64" s="207"/>
      <c r="N64" s="207">
        <v>1.9</v>
      </c>
      <c r="O64" s="207">
        <f t="shared" si="16"/>
        <v>3615.124072</v>
      </c>
      <c r="P64" s="207"/>
      <c r="Q64" s="207">
        <v>3613.224072</v>
      </c>
      <c r="R64" s="207">
        <f t="shared" si="15"/>
        <v>1.9</v>
      </c>
      <c r="S64" s="207"/>
      <c r="T64" s="207">
        <v>1.9</v>
      </c>
      <c r="U64" s="207"/>
      <c r="V64" s="207">
        <f t="shared" si="17"/>
        <v>100</v>
      </c>
      <c r="W64" s="207"/>
      <c r="X64" s="207">
        <f t="shared" si="20"/>
        <v>100</v>
      </c>
      <c r="Y64" s="207">
        <f t="shared" si="20"/>
        <v>100</v>
      </c>
      <c r="Z64" s="181"/>
      <c r="AA64" s="207">
        <f t="shared" si="19"/>
        <v>100</v>
      </c>
    </row>
    <row r="65" spans="1:27" ht="15.75">
      <c r="A65" s="182">
        <v>27</v>
      </c>
      <c r="B65" s="345" t="s">
        <v>392</v>
      </c>
      <c r="C65" s="207"/>
      <c r="D65" s="207"/>
      <c r="E65" s="207"/>
      <c r="F65" s="207"/>
      <c r="G65" s="207"/>
      <c r="H65" s="207"/>
      <c r="I65" s="207">
        <f t="shared" si="11"/>
        <v>5286.33367</v>
      </c>
      <c r="J65" s="207"/>
      <c r="K65" s="207">
        <v>5284.43367</v>
      </c>
      <c r="L65" s="207">
        <f t="shared" si="12"/>
        <v>1.9</v>
      </c>
      <c r="M65" s="207"/>
      <c r="N65" s="207">
        <v>1.9</v>
      </c>
      <c r="O65" s="207">
        <f t="shared" si="16"/>
        <v>5286.33367</v>
      </c>
      <c r="P65" s="207"/>
      <c r="Q65" s="207">
        <v>5284.43367</v>
      </c>
      <c r="R65" s="207">
        <f t="shared" si="15"/>
        <v>1.9</v>
      </c>
      <c r="S65" s="207"/>
      <c r="T65" s="207">
        <v>1.9</v>
      </c>
      <c r="U65" s="207"/>
      <c r="V65" s="207">
        <f t="shared" si="17"/>
        <v>100</v>
      </c>
      <c r="W65" s="207"/>
      <c r="X65" s="207">
        <f t="shared" si="20"/>
        <v>100</v>
      </c>
      <c r="Y65" s="207">
        <f t="shared" si="20"/>
        <v>100</v>
      </c>
      <c r="Z65" s="181"/>
      <c r="AA65" s="207">
        <f t="shared" si="19"/>
        <v>100</v>
      </c>
    </row>
    <row r="66" spans="1:27" ht="15.75">
      <c r="A66" s="182">
        <v>28</v>
      </c>
      <c r="B66" s="345" t="s">
        <v>393</v>
      </c>
      <c r="C66" s="207"/>
      <c r="D66" s="207"/>
      <c r="E66" s="207"/>
      <c r="F66" s="207"/>
      <c r="G66" s="207"/>
      <c r="H66" s="207"/>
      <c r="I66" s="207">
        <f t="shared" si="11"/>
        <v>5805.111</v>
      </c>
      <c r="J66" s="207"/>
      <c r="K66" s="207">
        <v>5805.111</v>
      </c>
      <c r="L66" s="207">
        <f t="shared" si="12"/>
        <v>0</v>
      </c>
      <c r="M66" s="207"/>
      <c r="N66" s="207"/>
      <c r="O66" s="207">
        <f t="shared" si="16"/>
        <v>5805.111</v>
      </c>
      <c r="P66" s="207"/>
      <c r="Q66" s="207">
        <v>5805.111</v>
      </c>
      <c r="R66" s="207">
        <f t="shared" si="15"/>
        <v>0</v>
      </c>
      <c r="S66" s="207"/>
      <c r="T66" s="207"/>
      <c r="U66" s="207"/>
      <c r="V66" s="207">
        <f t="shared" si="17"/>
        <v>100</v>
      </c>
      <c r="W66" s="207"/>
      <c r="X66" s="207">
        <f t="shared" si="20"/>
        <v>100</v>
      </c>
      <c r="Y66" s="207"/>
      <c r="Z66" s="181"/>
      <c r="AA66" s="207"/>
    </row>
    <row r="67" spans="1:28" ht="15.75">
      <c r="A67" s="182">
        <v>29</v>
      </c>
      <c r="B67" s="345" t="s">
        <v>394</v>
      </c>
      <c r="C67" s="207"/>
      <c r="D67" s="207"/>
      <c r="E67" s="207"/>
      <c r="F67" s="207"/>
      <c r="G67" s="207"/>
      <c r="H67" s="207"/>
      <c r="I67" s="207">
        <f t="shared" si="11"/>
        <v>4127.413794</v>
      </c>
      <c r="J67" s="207"/>
      <c r="K67" s="207">
        <v>4127.413794</v>
      </c>
      <c r="L67" s="207">
        <f t="shared" si="12"/>
        <v>0</v>
      </c>
      <c r="M67" s="207"/>
      <c r="N67" s="207"/>
      <c r="O67" s="207">
        <f t="shared" si="16"/>
        <v>4127.413794</v>
      </c>
      <c r="P67" s="207"/>
      <c r="Q67" s="207">
        <v>4127.413794</v>
      </c>
      <c r="R67" s="207">
        <f t="shared" si="15"/>
        <v>0</v>
      </c>
      <c r="S67" s="207"/>
      <c r="T67" s="207"/>
      <c r="U67" s="207"/>
      <c r="V67" s="207">
        <f t="shared" si="17"/>
        <v>100</v>
      </c>
      <c r="W67" s="207"/>
      <c r="X67" s="207">
        <f t="shared" si="20"/>
        <v>100</v>
      </c>
      <c r="Y67" s="207"/>
      <c r="Z67" s="181"/>
      <c r="AA67" s="207"/>
      <c r="AB67" s="327">
        <f>Q38+Q24-293822.195809</f>
        <v>0</v>
      </c>
    </row>
    <row r="68" spans="1:27" ht="15.75">
      <c r="A68" s="182">
        <v>30</v>
      </c>
      <c r="B68" s="345" t="s">
        <v>395</v>
      </c>
      <c r="C68" s="207"/>
      <c r="D68" s="207"/>
      <c r="E68" s="207"/>
      <c r="F68" s="207"/>
      <c r="G68" s="207"/>
      <c r="H68" s="207"/>
      <c r="I68" s="207">
        <f t="shared" si="11"/>
        <v>4666.821653</v>
      </c>
      <c r="J68" s="207"/>
      <c r="K68" s="207">
        <v>4666.821653</v>
      </c>
      <c r="L68" s="207">
        <f t="shared" si="12"/>
        <v>0</v>
      </c>
      <c r="M68" s="207"/>
      <c r="N68" s="207"/>
      <c r="O68" s="207">
        <f t="shared" si="16"/>
        <v>4666.821653</v>
      </c>
      <c r="P68" s="207"/>
      <c r="Q68" s="207">
        <v>4666.821653</v>
      </c>
      <c r="R68" s="207">
        <f t="shared" si="15"/>
        <v>0</v>
      </c>
      <c r="S68" s="207"/>
      <c r="T68" s="207"/>
      <c r="U68" s="207"/>
      <c r="V68" s="207">
        <f t="shared" si="17"/>
        <v>100</v>
      </c>
      <c r="W68" s="207"/>
      <c r="X68" s="207">
        <f t="shared" si="20"/>
        <v>100</v>
      </c>
      <c r="Y68" s="207"/>
      <c r="Z68" s="181"/>
      <c r="AA68" s="207"/>
    </row>
    <row r="69" spans="1:27" ht="15.75">
      <c r="A69" s="182">
        <v>31</v>
      </c>
      <c r="B69" s="345" t="s">
        <v>396</v>
      </c>
      <c r="C69" s="207"/>
      <c r="D69" s="207"/>
      <c r="E69" s="207"/>
      <c r="F69" s="207"/>
      <c r="G69" s="207"/>
      <c r="H69" s="207"/>
      <c r="I69" s="207">
        <f t="shared" si="11"/>
        <v>3520.955996</v>
      </c>
      <c r="J69" s="207"/>
      <c r="K69" s="207">
        <v>3520.955996</v>
      </c>
      <c r="L69" s="207">
        <f t="shared" si="12"/>
        <v>0</v>
      </c>
      <c r="M69" s="207"/>
      <c r="N69" s="207"/>
      <c r="O69" s="207">
        <f t="shared" si="16"/>
        <v>3520.955996</v>
      </c>
      <c r="P69" s="207"/>
      <c r="Q69" s="207">
        <v>3520.955996</v>
      </c>
      <c r="R69" s="207">
        <f t="shared" si="15"/>
        <v>0</v>
      </c>
      <c r="S69" s="207"/>
      <c r="T69" s="207"/>
      <c r="U69" s="207"/>
      <c r="V69" s="207">
        <f t="shared" si="17"/>
        <v>100</v>
      </c>
      <c r="W69" s="207"/>
      <c r="X69" s="207">
        <f t="shared" si="20"/>
        <v>100</v>
      </c>
      <c r="Y69" s="207"/>
      <c r="Z69" s="181"/>
      <c r="AA69" s="207"/>
    </row>
    <row r="70" spans="1:27" ht="15.75">
      <c r="A70" s="182">
        <v>32</v>
      </c>
      <c r="B70" s="345" t="s">
        <v>397</v>
      </c>
      <c r="C70" s="207"/>
      <c r="D70" s="207"/>
      <c r="E70" s="207"/>
      <c r="F70" s="207"/>
      <c r="G70" s="207"/>
      <c r="H70" s="207"/>
      <c r="I70" s="207">
        <f t="shared" si="11"/>
        <v>6092.089281</v>
      </c>
      <c r="J70" s="207"/>
      <c r="K70" s="207">
        <v>6092.089281</v>
      </c>
      <c r="L70" s="207">
        <f t="shared" si="12"/>
        <v>0</v>
      </c>
      <c r="M70" s="207"/>
      <c r="N70" s="207"/>
      <c r="O70" s="207">
        <f t="shared" si="16"/>
        <v>6092.089281</v>
      </c>
      <c r="P70" s="207"/>
      <c r="Q70" s="207">
        <v>6092.089281</v>
      </c>
      <c r="R70" s="207">
        <f t="shared" si="15"/>
        <v>0</v>
      </c>
      <c r="S70" s="207"/>
      <c r="T70" s="207"/>
      <c r="U70" s="207"/>
      <c r="V70" s="207">
        <f t="shared" si="17"/>
        <v>100</v>
      </c>
      <c r="W70" s="207"/>
      <c r="X70" s="207">
        <f t="shared" si="20"/>
        <v>100</v>
      </c>
      <c r="Y70" s="207"/>
      <c r="Z70" s="181"/>
      <c r="AA70" s="207"/>
    </row>
    <row r="71" spans="1:27" ht="15.75">
      <c r="A71" s="182">
        <v>33</v>
      </c>
      <c r="B71" s="345" t="s">
        <v>398</v>
      </c>
      <c r="C71" s="207"/>
      <c r="D71" s="207"/>
      <c r="E71" s="207"/>
      <c r="F71" s="207"/>
      <c r="G71" s="207"/>
      <c r="H71" s="207"/>
      <c r="I71" s="207">
        <f t="shared" si="11"/>
        <v>4796.497542</v>
      </c>
      <c r="J71" s="207"/>
      <c r="K71" s="207">
        <v>4796.497542</v>
      </c>
      <c r="L71" s="207">
        <f t="shared" si="12"/>
        <v>0</v>
      </c>
      <c r="M71" s="207"/>
      <c r="N71" s="207"/>
      <c r="O71" s="207">
        <f t="shared" si="16"/>
        <v>4796.497542</v>
      </c>
      <c r="P71" s="207"/>
      <c r="Q71" s="207">
        <v>4796.497542</v>
      </c>
      <c r="R71" s="207">
        <f t="shared" si="15"/>
        <v>0</v>
      </c>
      <c r="S71" s="207"/>
      <c r="T71" s="207"/>
      <c r="U71" s="207"/>
      <c r="V71" s="207">
        <f t="shared" si="17"/>
        <v>100</v>
      </c>
      <c r="W71" s="207"/>
      <c r="X71" s="207">
        <f t="shared" si="20"/>
        <v>100</v>
      </c>
      <c r="Y71" s="207"/>
      <c r="Z71" s="181"/>
      <c r="AA71" s="207"/>
    </row>
    <row r="72" spans="1:27" ht="15.75">
      <c r="A72" s="182">
        <v>34</v>
      </c>
      <c r="B72" s="345" t="s">
        <v>399</v>
      </c>
      <c r="C72" s="207"/>
      <c r="D72" s="207"/>
      <c r="E72" s="207"/>
      <c r="F72" s="207"/>
      <c r="G72" s="207"/>
      <c r="H72" s="207"/>
      <c r="I72" s="207">
        <f t="shared" si="11"/>
        <v>3975.412531</v>
      </c>
      <c r="J72" s="207"/>
      <c r="K72" s="207">
        <v>3974.212531</v>
      </c>
      <c r="L72" s="207">
        <f t="shared" si="12"/>
        <v>1.2</v>
      </c>
      <c r="M72" s="207"/>
      <c r="N72" s="207">
        <v>1.2</v>
      </c>
      <c r="O72" s="207">
        <f t="shared" si="16"/>
        <v>3975.412531</v>
      </c>
      <c r="P72" s="207"/>
      <c r="Q72" s="207">
        <v>3974.212531</v>
      </c>
      <c r="R72" s="207">
        <f t="shared" si="15"/>
        <v>1.2</v>
      </c>
      <c r="S72" s="207"/>
      <c r="T72" s="207">
        <v>1.2</v>
      </c>
      <c r="U72" s="207"/>
      <c r="V72" s="207">
        <f t="shared" si="17"/>
        <v>100</v>
      </c>
      <c r="W72" s="207"/>
      <c r="X72" s="207">
        <f t="shared" si="20"/>
        <v>100</v>
      </c>
      <c r="Y72" s="207">
        <f t="shared" si="20"/>
        <v>100</v>
      </c>
      <c r="Z72" s="181"/>
      <c r="AA72" s="207">
        <f t="shared" si="19"/>
        <v>100</v>
      </c>
    </row>
    <row r="73" spans="1:27" ht="15.75">
      <c r="A73" s="182">
        <v>35</v>
      </c>
      <c r="B73" s="345" t="s">
        <v>400</v>
      </c>
      <c r="C73" s="207"/>
      <c r="D73" s="207"/>
      <c r="E73" s="207"/>
      <c r="F73" s="207"/>
      <c r="G73" s="207"/>
      <c r="H73" s="207"/>
      <c r="I73" s="207">
        <f t="shared" si="11"/>
        <v>4764.9668</v>
      </c>
      <c r="J73" s="207"/>
      <c r="K73" s="207">
        <v>4763.5668000000005</v>
      </c>
      <c r="L73" s="207">
        <f t="shared" si="12"/>
        <v>1.4</v>
      </c>
      <c r="M73" s="207"/>
      <c r="N73" s="207">
        <v>1.4</v>
      </c>
      <c r="O73" s="207">
        <f t="shared" si="16"/>
        <v>4764.9668</v>
      </c>
      <c r="P73" s="207"/>
      <c r="Q73" s="207">
        <v>4763.5668000000005</v>
      </c>
      <c r="R73" s="207">
        <f t="shared" si="15"/>
        <v>1.4</v>
      </c>
      <c r="S73" s="207"/>
      <c r="T73" s="207">
        <v>1.4</v>
      </c>
      <c r="U73" s="207"/>
      <c r="V73" s="207">
        <f t="shared" si="17"/>
        <v>100</v>
      </c>
      <c r="W73" s="207"/>
      <c r="X73" s="207">
        <f t="shared" si="20"/>
        <v>100</v>
      </c>
      <c r="Y73" s="207">
        <f t="shared" si="20"/>
        <v>100</v>
      </c>
      <c r="Z73" s="181"/>
      <c r="AA73" s="207">
        <f t="shared" si="19"/>
        <v>100</v>
      </c>
    </row>
    <row r="74" spans="1:27" ht="15.75">
      <c r="A74" s="182">
        <v>36</v>
      </c>
      <c r="B74" s="345" t="s">
        <v>401</v>
      </c>
      <c r="C74" s="207"/>
      <c r="D74" s="207"/>
      <c r="E74" s="207"/>
      <c r="F74" s="207"/>
      <c r="G74" s="207"/>
      <c r="H74" s="207"/>
      <c r="I74" s="207">
        <f t="shared" si="11"/>
        <v>3275.854</v>
      </c>
      <c r="J74" s="207"/>
      <c r="K74" s="207">
        <v>3274.154</v>
      </c>
      <c r="L74" s="207">
        <f t="shared" si="12"/>
        <v>1.7</v>
      </c>
      <c r="M74" s="207"/>
      <c r="N74" s="207">
        <v>1.7</v>
      </c>
      <c r="O74" s="207">
        <f t="shared" si="16"/>
        <v>3275.854</v>
      </c>
      <c r="P74" s="207"/>
      <c r="Q74" s="207">
        <v>3274.154</v>
      </c>
      <c r="R74" s="207">
        <f t="shared" si="15"/>
        <v>1.7</v>
      </c>
      <c r="S74" s="207"/>
      <c r="T74" s="207">
        <v>1.7</v>
      </c>
      <c r="U74" s="207"/>
      <c r="V74" s="207">
        <f t="shared" si="17"/>
        <v>100</v>
      </c>
      <c r="W74" s="207"/>
      <c r="X74" s="207">
        <f t="shared" si="20"/>
        <v>100</v>
      </c>
      <c r="Y74" s="207">
        <f t="shared" si="20"/>
        <v>100</v>
      </c>
      <c r="Z74" s="181"/>
      <c r="AA74" s="207">
        <f t="shared" si="19"/>
        <v>100</v>
      </c>
    </row>
    <row r="75" spans="1:27" s="63" customFormat="1" ht="15.75">
      <c r="A75" s="182">
        <v>37</v>
      </c>
      <c r="B75" s="345" t="s">
        <v>402</v>
      </c>
      <c r="C75" s="207"/>
      <c r="D75" s="207"/>
      <c r="E75" s="207"/>
      <c r="F75" s="207"/>
      <c r="G75" s="207"/>
      <c r="H75" s="207"/>
      <c r="I75" s="207">
        <f t="shared" si="11"/>
        <v>3869.56</v>
      </c>
      <c r="J75" s="207"/>
      <c r="K75" s="207">
        <v>3867.86</v>
      </c>
      <c r="L75" s="207">
        <f t="shared" si="12"/>
        <v>1.7</v>
      </c>
      <c r="M75" s="207"/>
      <c r="N75" s="207">
        <v>1.7</v>
      </c>
      <c r="O75" s="207">
        <f t="shared" si="16"/>
        <v>3869.56</v>
      </c>
      <c r="P75" s="207"/>
      <c r="Q75" s="207">
        <v>3867.86</v>
      </c>
      <c r="R75" s="207">
        <f t="shared" si="15"/>
        <v>1.7</v>
      </c>
      <c r="S75" s="207"/>
      <c r="T75" s="207">
        <v>1.7</v>
      </c>
      <c r="U75" s="207"/>
      <c r="V75" s="207">
        <f t="shared" si="17"/>
        <v>100</v>
      </c>
      <c r="W75" s="207"/>
      <c r="X75" s="207">
        <f t="shared" si="20"/>
        <v>100</v>
      </c>
      <c r="Y75" s="207">
        <f t="shared" si="20"/>
        <v>100</v>
      </c>
      <c r="Z75" s="181"/>
      <c r="AA75" s="207">
        <f t="shared" si="19"/>
        <v>100</v>
      </c>
    </row>
    <row r="76" spans="1:27" ht="15.75">
      <c r="A76" s="182">
        <v>38</v>
      </c>
      <c r="B76" s="345" t="s">
        <v>403</v>
      </c>
      <c r="C76" s="207"/>
      <c r="D76" s="207"/>
      <c r="E76" s="207"/>
      <c r="F76" s="207"/>
      <c r="G76" s="207"/>
      <c r="H76" s="207"/>
      <c r="I76" s="207">
        <f t="shared" si="11"/>
        <v>4874.978426</v>
      </c>
      <c r="J76" s="207"/>
      <c r="K76" s="207">
        <v>4873.6784259999995</v>
      </c>
      <c r="L76" s="207">
        <f t="shared" si="12"/>
        <v>1.3</v>
      </c>
      <c r="M76" s="207"/>
      <c r="N76" s="207">
        <v>1.3</v>
      </c>
      <c r="O76" s="207">
        <f t="shared" si="16"/>
        <v>4874.978426</v>
      </c>
      <c r="P76" s="207"/>
      <c r="Q76" s="207">
        <v>4873.6784259999995</v>
      </c>
      <c r="R76" s="207">
        <f t="shared" si="15"/>
        <v>1.3</v>
      </c>
      <c r="S76" s="207"/>
      <c r="T76" s="207">
        <v>1.3</v>
      </c>
      <c r="U76" s="207"/>
      <c r="V76" s="207">
        <f t="shared" si="17"/>
        <v>100</v>
      </c>
      <c r="W76" s="207"/>
      <c r="X76" s="207">
        <f t="shared" si="20"/>
        <v>100</v>
      </c>
      <c r="Y76" s="207">
        <f t="shared" si="20"/>
        <v>100</v>
      </c>
      <c r="Z76" s="181"/>
      <c r="AA76" s="207">
        <f t="shared" si="19"/>
        <v>100</v>
      </c>
    </row>
    <row r="77" spans="1:27" ht="15.75">
      <c r="A77" s="182">
        <v>40</v>
      </c>
      <c r="B77" s="345" t="s">
        <v>404</v>
      </c>
      <c r="C77" s="207"/>
      <c r="D77" s="207"/>
      <c r="E77" s="207"/>
      <c r="F77" s="207"/>
      <c r="G77" s="207"/>
      <c r="H77" s="207"/>
      <c r="I77" s="207">
        <f t="shared" si="11"/>
        <v>4368.277</v>
      </c>
      <c r="J77" s="207"/>
      <c r="K77" s="207">
        <v>4366.577</v>
      </c>
      <c r="L77" s="207">
        <f t="shared" si="12"/>
        <v>1.7</v>
      </c>
      <c r="M77" s="207"/>
      <c r="N77" s="207">
        <v>1.7</v>
      </c>
      <c r="O77" s="207">
        <f t="shared" si="16"/>
        <v>4368.277</v>
      </c>
      <c r="P77" s="207"/>
      <c r="Q77" s="207">
        <v>4366.577</v>
      </c>
      <c r="R77" s="207">
        <f t="shared" si="15"/>
        <v>1.7</v>
      </c>
      <c r="S77" s="207"/>
      <c r="T77" s="207">
        <v>1.7</v>
      </c>
      <c r="U77" s="207"/>
      <c r="V77" s="207">
        <f t="shared" si="17"/>
        <v>100</v>
      </c>
      <c r="W77" s="207"/>
      <c r="X77" s="207">
        <f t="shared" si="20"/>
        <v>100</v>
      </c>
      <c r="Y77" s="207">
        <f t="shared" si="20"/>
        <v>100</v>
      </c>
      <c r="Z77" s="181"/>
      <c r="AA77" s="207">
        <f t="shared" si="19"/>
        <v>100</v>
      </c>
    </row>
    <row r="78" spans="1:27" ht="15.75">
      <c r="A78" s="182">
        <v>41</v>
      </c>
      <c r="B78" s="345" t="s">
        <v>405</v>
      </c>
      <c r="C78" s="207"/>
      <c r="D78" s="207"/>
      <c r="E78" s="207"/>
      <c r="F78" s="207"/>
      <c r="G78" s="207"/>
      <c r="H78" s="207"/>
      <c r="I78" s="207">
        <f t="shared" si="11"/>
        <v>2996.4</v>
      </c>
      <c r="J78" s="207"/>
      <c r="K78" s="207">
        <v>2994.7000000000003</v>
      </c>
      <c r="L78" s="207">
        <f t="shared" si="12"/>
        <v>1.7</v>
      </c>
      <c r="M78" s="207"/>
      <c r="N78" s="207">
        <v>1.7</v>
      </c>
      <c r="O78" s="207">
        <f t="shared" si="16"/>
        <v>2996.4</v>
      </c>
      <c r="P78" s="207"/>
      <c r="Q78" s="207">
        <v>2994.7000000000003</v>
      </c>
      <c r="R78" s="207">
        <f t="shared" si="15"/>
        <v>1.7</v>
      </c>
      <c r="S78" s="207"/>
      <c r="T78" s="207">
        <v>1.7</v>
      </c>
      <c r="U78" s="207"/>
      <c r="V78" s="207">
        <f t="shared" si="17"/>
        <v>100</v>
      </c>
      <c r="W78" s="207"/>
      <c r="X78" s="207">
        <f t="shared" si="20"/>
        <v>100</v>
      </c>
      <c r="Y78" s="207">
        <f t="shared" si="20"/>
        <v>100</v>
      </c>
      <c r="Z78" s="181"/>
      <c r="AA78" s="207">
        <f t="shared" si="19"/>
        <v>100</v>
      </c>
    </row>
    <row r="79" spans="1:27" ht="15.75">
      <c r="A79" s="182">
        <v>42</v>
      </c>
      <c r="B79" s="345" t="s">
        <v>406</v>
      </c>
      <c r="C79" s="207"/>
      <c r="D79" s="207"/>
      <c r="E79" s="207"/>
      <c r="F79" s="207"/>
      <c r="G79" s="207"/>
      <c r="H79" s="207"/>
      <c r="I79" s="207">
        <f t="shared" si="11"/>
        <v>4928.711942</v>
      </c>
      <c r="J79" s="207"/>
      <c r="K79" s="207">
        <v>4927.011942</v>
      </c>
      <c r="L79" s="207">
        <f t="shared" si="12"/>
        <v>1.7</v>
      </c>
      <c r="M79" s="207"/>
      <c r="N79" s="207">
        <v>1.7</v>
      </c>
      <c r="O79" s="207">
        <f t="shared" si="16"/>
        <v>4928.711942</v>
      </c>
      <c r="P79" s="207"/>
      <c r="Q79" s="207">
        <v>4927.011942</v>
      </c>
      <c r="R79" s="207">
        <f t="shared" si="15"/>
        <v>1.7</v>
      </c>
      <c r="S79" s="207"/>
      <c r="T79" s="207">
        <v>1.7</v>
      </c>
      <c r="U79" s="207"/>
      <c r="V79" s="207">
        <f t="shared" si="17"/>
        <v>100</v>
      </c>
      <c r="W79" s="207"/>
      <c r="X79" s="207">
        <f t="shared" si="20"/>
        <v>100</v>
      </c>
      <c r="Y79" s="207">
        <f t="shared" si="20"/>
        <v>100</v>
      </c>
      <c r="Z79" s="181"/>
      <c r="AA79" s="207">
        <f t="shared" si="19"/>
        <v>100</v>
      </c>
    </row>
    <row r="80" spans="1:27" ht="15.75">
      <c r="A80" s="182">
        <v>43</v>
      </c>
      <c r="B80" s="345" t="s">
        <v>407</v>
      </c>
      <c r="C80" s="207"/>
      <c r="D80" s="207"/>
      <c r="E80" s="207"/>
      <c r="F80" s="207"/>
      <c r="G80" s="207"/>
      <c r="H80" s="207"/>
      <c r="I80" s="207">
        <f t="shared" si="11"/>
        <v>3259.924</v>
      </c>
      <c r="J80" s="207"/>
      <c r="K80" s="207">
        <v>3258.224</v>
      </c>
      <c r="L80" s="207">
        <f t="shared" si="12"/>
        <v>1.7</v>
      </c>
      <c r="M80" s="207"/>
      <c r="N80" s="207">
        <v>1.7</v>
      </c>
      <c r="O80" s="207">
        <f t="shared" si="16"/>
        <v>3259.924</v>
      </c>
      <c r="P80" s="207"/>
      <c r="Q80" s="207">
        <v>3258.224</v>
      </c>
      <c r="R80" s="207">
        <f t="shared" si="15"/>
        <v>1.7</v>
      </c>
      <c r="S80" s="207"/>
      <c r="T80" s="207">
        <v>1.7</v>
      </c>
      <c r="U80" s="207"/>
      <c r="V80" s="207">
        <f t="shared" si="17"/>
        <v>100</v>
      </c>
      <c r="W80" s="207"/>
      <c r="X80" s="207">
        <f t="shared" si="20"/>
        <v>100</v>
      </c>
      <c r="Y80" s="207">
        <f t="shared" si="20"/>
        <v>100</v>
      </c>
      <c r="Z80" s="181"/>
      <c r="AA80" s="207">
        <f t="shared" si="19"/>
        <v>100</v>
      </c>
    </row>
    <row r="81" spans="1:27" ht="15.75">
      <c r="A81" s="182">
        <v>44</v>
      </c>
      <c r="B81" s="345" t="s">
        <v>408</v>
      </c>
      <c r="C81" s="207"/>
      <c r="D81" s="207"/>
      <c r="E81" s="207"/>
      <c r="F81" s="207"/>
      <c r="G81" s="207"/>
      <c r="H81" s="207"/>
      <c r="I81" s="207">
        <f t="shared" si="11"/>
        <v>3330.821</v>
      </c>
      <c r="J81" s="207"/>
      <c r="K81" s="207">
        <v>3329.121</v>
      </c>
      <c r="L81" s="207">
        <f t="shared" si="12"/>
        <v>1.7</v>
      </c>
      <c r="M81" s="207"/>
      <c r="N81" s="207">
        <v>1.7</v>
      </c>
      <c r="O81" s="207">
        <f t="shared" si="16"/>
        <v>3330.821</v>
      </c>
      <c r="P81" s="207"/>
      <c r="Q81" s="207">
        <v>3329.121</v>
      </c>
      <c r="R81" s="207">
        <f t="shared" si="15"/>
        <v>1.7</v>
      </c>
      <c r="S81" s="207"/>
      <c r="T81" s="207">
        <v>1.7</v>
      </c>
      <c r="U81" s="207"/>
      <c r="V81" s="207">
        <f t="shared" si="17"/>
        <v>100</v>
      </c>
      <c r="W81" s="207"/>
      <c r="X81" s="207">
        <f t="shared" si="20"/>
        <v>100</v>
      </c>
      <c r="Y81" s="207">
        <f t="shared" si="20"/>
        <v>100</v>
      </c>
      <c r="Z81" s="181"/>
      <c r="AA81" s="207">
        <f t="shared" si="19"/>
        <v>100</v>
      </c>
    </row>
    <row r="82" spans="1:27" ht="15.75">
      <c r="A82" s="182">
        <v>45</v>
      </c>
      <c r="B82" s="345" t="s">
        <v>409</v>
      </c>
      <c r="C82" s="207"/>
      <c r="D82" s="207"/>
      <c r="E82" s="207"/>
      <c r="F82" s="207"/>
      <c r="G82" s="207"/>
      <c r="H82" s="207"/>
      <c r="I82" s="207">
        <f t="shared" si="11"/>
        <v>3268.616372</v>
      </c>
      <c r="J82" s="207"/>
      <c r="K82" s="207">
        <v>3266.916372</v>
      </c>
      <c r="L82" s="207">
        <f t="shared" si="12"/>
        <v>1.7</v>
      </c>
      <c r="M82" s="207"/>
      <c r="N82" s="207">
        <v>1.7</v>
      </c>
      <c r="O82" s="207">
        <f t="shared" si="16"/>
        <v>3268.616372</v>
      </c>
      <c r="P82" s="207"/>
      <c r="Q82" s="207">
        <v>3266.916372</v>
      </c>
      <c r="R82" s="207">
        <f t="shared" si="15"/>
        <v>1.7</v>
      </c>
      <c r="S82" s="207"/>
      <c r="T82" s="207">
        <v>1.7</v>
      </c>
      <c r="U82" s="207"/>
      <c r="V82" s="207">
        <f t="shared" si="17"/>
        <v>100</v>
      </c>
      <c r="W82" s="207"/>
      <c r="X82" s="207">
        <f t="shared" si="20"/>
        <v>100</v>
      </c>
      <c r="Y82" s="207">
        <f t="shared" si="20"/>
        <v>100</v>
      </c>
      <c r="Z82" s="181"/>
      <c r="AA82" s="207">
        <f t="shared" si="19"/>
        <v>100</v>
      </c>
    </row>
    <row r="83" spans="1:27" ht="15.75">
      <c r="A83" s="182">
        <v>46</v>
      </c>
      <c r="B83" s="345" t="s">
        <v>410</v>
      </c>
      <c r="C83" s="207"/>
      <c r="D83" s="207"/>
      <c r="E83" s="207"/>
      <c r="F83" s="207"/>
      <c r="G83" s="207"/>
      <c r="H83" s="207"/>
      <c r="I83" s="207">
        <f aca="true" t="shared" si="21" ref="I83:I105">+J83+K83+L83</f>
        <v>6938.618442</v>
      </c>
      <c r="J83" s="207"/>
      <c r="K83" s="207">
        <v>6937.118442</v>
      </c>
      <c r="L83" s="207">
        <f aca="true" t="shared" si="22" ref="L83:L105">+M83+N83</f>
        <v>1.5</v>
      </c>
      <c r="M83" s="207"/>
      <c r="N83" s="207">
        <v>1.5</v>
      </c>
      <c r="O83" s="207">
        <f t="shared" si="16"/>
        <v>6938.618442</v>
      </c>
      <c r="P83" s="207"/>
      <c r="Q83" s="207">
        <v>6937.118442</v>
      </c>
      <c r="R83" s="207">
        <f t="shared" si="15"/>
        <v>1.5</v>
      </c>
      <c r="S83" s="207"/>
      <c r="T83" s="207">
        <v>1.5</v>
      </c>
      <c r="U83" s="207"/>
      <c r="V83" s="207">
        <f t="shared" si="17"/>
        <v>100</v>
      </c>
      <c r="W83" s="207"/>
      <c r="X83" s="207">
        <f t="shared" si="20"/>
        <v>100</v>
      </c>
      <c r="Y83" s="207">
        <f t="shared" si="20"/>
        <v>100</v>
      </c>
      <c r="Z83" s="181"/>
      <c r="AA83" s="207">
        <f t="shared" si="19"/>
        <v>100</v>
      </c>
    </row>
    <row r="84" spans="1:27" ht="15.75">
      <c r="A84" s="182">
        <v>48</v>
      </c>
      <c r="B84" s="345" t="s">
        <v>411</v>
      </c>
      <c r="C84" s="207"/>
      <c r="D84" s="207"/>
      <c r="E84" s="207"/>
      <c r="F84" s="207"/>
      <c r="G84" s="207"/>
      <c r="H84" s="207"/>
      <c r="I84" s="207">
        <f t="shared" si="21"/>
        <v>3960.195558</v>
      </c>
      <c r="J84" s="207"/>
      <c r="K84" s="207">
        <v>3959.095558</v>
      </c>
      <c r="L84" s="207">
        <f t="shared" si="22"/>
        <v>1.1</v>
      </c>
      <c r="M84" s="207"/>
      <c r="N84" s="207">
        <v>1.1</v>
      </c>
      <c r="O84" s="207">
        <f t="shared" si="16"/>
        <v>3960.195558</v>
      </c>
      <c r="P84" s="207"/>
      <c r="Q84" s="207">
        <v>3959.095558</v>
      </c>
      <c r="R84" s="207">
        <f t="shared" si="15"/>
        <v>1.1</v>
      </c>
      <c r="S84" s="207"/>
      <c r="T84" s="207">
        <v>1.1</v>
      </c>
      <c r="U84" s="207"/>
      <c r="V84" s="207">
        <f t="shared" si="17"/>
        <v>100</v>
      </c>
      <c r="W84" s="207"/>
      <c r="X84" s="207">
        <f t="shared" si="20"/>
        <v>100</v>
      </c>
      <c r="Y84" s="207">
        <f t="shared" si="20"/>
        <v>100</v>
      </c>
      <c r="Z84" s="181"/>
      <c r="AA84" s="207">
        <f t="shared" si="19"/>
        <v>100</v>
      </c>
    </row>
    <row r="85" spans="1:27" ht="15.75">
      <c r="A85" s="182">
        <v>49</v>
      </c>
      <c r="B85" s="345" t="s">
        <v>412</v>
      </c>
      <c r="C85" s="207"/>
      <c r="D85" s="207"/>
      <c r="E85" s="207"/>
      <c r="F85" s="207"/>
      <c r="G85" s="207"/>
      <c r="H85" s="207"/>
      <c r="I85" s="207">
        <f t="shared" si="21"/>
        <v>4836.406535</v>
      </c>
      <c r="J85" s="207"/>
      <c r="K85" s="207">
        <v>4834.706535</v>
      </c>
      <c r="L85" s="207">
        <f t="shared" si="22"/>
        <v>1.7</v>
      </c>
      <c r="M85" s="207"/>
      <c r="N85" s="207">
        <v>1.7</v>
      </c>
      <c r="O85" s="207">
        <f t="shared" si="16"/>
        <v>4836.406535</v>
      </c>
      <c r="P85" s="207"/>
      <c r="Q85" s="207">
        <v>4834.706535</v>
      </c>
      <c r="R85" s="207">
        <f t="shared" si="15"/>
        <v>1.7</v>
      </c>
      <c r="S85" s="207"/>
      <c r="T85" s="207">
        <v>1.7</v>
      </c>
      <c r="U85" s="207"/>
      <c r="V85" s="207">
        <f t="shared" si="17"/>
        <v>100</v>
      </c>
      <c r="W85" s="207"/>
      <c r="X85" s="207">
        <f t="shared" si="20"/>
        <v>100</v>
      </c>
      <c r="Y85" s="207">
        <f t="shared" si="20"/>
        <v>100</v>
      </c>
      <c r="Z85" s="181"/>
      <c r="AA85" s="207">
        <f t="shared" si="19"/>
        <v>100</v>
      </c>
    </row>
    <row r="86" spans="1:27" ht="15.75">
      <c r="A86" s="182">
        <v>51</v>
      </c>
      <c r="B86" s="345" t="s">
        <v>413</v>
      </c>
      <c r="C86" s="207"/>
      <c r="D86" s="207"/>
      <c r="E86" s="207"/>
      <c r="F86" s="207"/>
      <c r="G86" s="207"/>
      <c r="H86" s="207"/>
      <c r="I86" s="207">
        <f t="shared" si="21"/>
        <v>4650.283814</v>
      </c>
      <c r="J86" s="207"/>
      <c r="K86" s="207">
        <v>4650.283814</v>
      </c>
      <c r="L86" s="207">
        <f t="shared" si="22"/>
        <v>0</v>
      </c>
      <c r="M86" s="207"/>
      <c r="N86" s="207"/>
      <c r="O86" s="207">
        <f t="shared" si="16"/>
        <v>4650.283814</v>
      </c>
      <c r="P86" s="207"/>
      <c r="Q86" s="207">
        <v>4650.283814</v>
      </c>
      <c r="R86" s="207">
        <f t="shared" si="15"/>
        <v>0</v>
      </c>
      <c r="S86" s="207"/>
      <c r="T86" s="207"/>
      <c r="U86" s="207"/>
      <c r="V86" s="207">
        <f t="shared" si="17"/>
        <v>100</v>
      </c>
      <c r="W86" s="207"/>
      <c r="X86" s="207">
        <f t="shared" si="20"/>
        <v>100</v>
      </c>
      <c r="Y86" s="207"/>
      <c r="Z86" s="181"/>
      <c r="AA86" s="207"/>
    </row>
    <row r="87" spans="1:27" ht="15.75">
      <c r="A87" s="182">
        <v>52</v>
      </c>
      <c r="B87" s="345" t="s">
        <v>414</v>
      </c>
      <c r="C87" s="207"/>
      <c r="D87" s="207"/>
      <c r="E87" s="207"/>
      <c r="F87" s="207"/>
      <c r="G87" s="207"/>
      <c r="H87" s="207"/>
      <c r="I87" s="207">
        <f t="shared" si="21"/>
        <v>5270.41</v>
      </c>
      <c r="J87" s="207"/>
      <c r="K87" s="207">
        <v>5269.01</v>
      </c>
      <c r="L87" s="207">
        <f t="shared" si="22"/>
        <v>1.4</v>
      </c>
      <c r="M87" s="207"/>
      <c r="N87" s="207">
        <v>1.4</v>
      </c>
      <c r="O87" s="207">
        <f t="shared" si="16"/>
        <v>5270.41</v>
      </c>
      <c r="P87" s="207"/>
      <c r="Q87" s="207">
        <v>5269.01</v>
      </c>
      <c r="R87" s="207">
        <f t="shared" si="15"/>
        <v>1.4</v>
      </c>
      <c r="S87" s="207"/>
      <c r="T87" s="207">
        <v>1.4</v>
      </c>
      <c r="U87" s="207"/>
      <c r="V87" s="207">
        <f t="shared" si="17"/>
        <v>100</v>
      </c>
      <c r="W87" s="207"/>
      <c r="X87" s="207">
        <f t="shared" si="20"/>
        <v>100</v>
      </c>
      <c r="Y87" s="207">
        <f t="shared" si="20"/>
        <v>100</v>
      </c>
      <c r="Z87" s="181"/>
      <c r="AA87" s="207">
        <f t="shared" si="19"/>
        <v>100</v>
      </c>
    </row>
    <row r="88" spans="1:27" ht="15.75">
      <c r="A88" s="182">
        <v>53</v>
      </c>
      <c r="B88" s="345" t="s">
        <v>415</v>
      </c>
      <c r="C88" s="207"/>
      <c r="D88" s="207"/>
      <c r="E88" s="207"/>
      <c r="F88" s="207"/>
      <c r="G88" s="207"/>
      <c r="H88" s="207"/>
      <c r="I88" s="207">
        <f t="shared" si="21"/>
        <v>5923.800636</v>
      </c>
      <c r="J88" s="207"/>
      <c r="K88" s="207">
        <v>5923.800636</v>
      </c>
      <c r="L88" s="207">
        <f t="shared" si="22"/>
        <v>0</v>
      </c>
      <c r="M88" s="207"/>
      <c r="N88" s="207"/>
      <c r="O88" s="207">
        <f t="shared" si="16"/>
        <v>5923.800636</v>
      </c>
      <c r="P88" s="207"/>
      <c r="Q88" s="207">
        <v>5923.800636</v>
      </c>
      <c r="R88" s="207">
        <f t="shared" si="15"/>
        <v>0</v>
      </c>
      <c r="S88" s="207"/>
      <c r="T88" s="207"/>
      <c r="U88" s="207"/>
      <c r="V88" s="207">
        <f t="shared" si="17"/>
        <v>100</v>
      </c>
      <c r="W88" s="207"/>
      <c r="X88" s="207">
        <f t="shared" si="20"/>
        <v>100</v>
      </c>
      <c r="Y88" s="207"/>
      <c r="Z88" s="181"/>
      <c r="AA88" s="207"/>
    </row>
    <row r="89" spans="1:27" ht="15.75">
      <c r="A89" s="182">
        <v>54</v>
      </c>
      <c r="B89" s="345" t="s">
        <v>416</v>
      </c>
      <c r="C89" s="207"/>
      <c r="D89" s="207"/>
      <c r="E89" s="207"/>
      <c r="F89" s="207"/>
      <c r="G89" s="207"/>
      <c r="H89" s="207"/>
      <c r="I89" s="207">
        <f t="shared" si="21"/>
        <v>5440.363072</v>
      </c>
      <c r="J89" s="207"/>
      <c r="K89" s="207">
        <v>5438.763072</v>
      </c>
      <c r="L89" s="207">
        <f t="shared" si="22"/>
        <v>1.6</v>
      </c>
      <c r="M89" s="207"/>
      <c r="N89" s="207">
        <v>1.6</v>
      </c>
      <c r="O89" s="207">
        <f t="shared" si="16"/>
        <v>5440.363072</v>
      </c>
      <c r="P89" s="207"/>
      <c r="Q89" s="207">
        <v>5438.763072</v>
      </c>
      <c r="R89" s="207">
        <f t="shared" si="15"/>
        <v>1.6</v>
      </c>
      <c r="S89" s="207"/>
      <c r="T89" s="207">
        <v>1.6</v>
      </c>
      <c r="U89" s="207"/>
      <c r="V89" s="207">
        <f t="shared" si="17"/>
        <v>100</v>
      </c>
      <c r="W89" s="207"/>
      <c r="X89" s="207">
        <f t="shared" si="20"/>
        <v>100</v>
      </c>
      <c r="Y89" s="207">
        <f t="shared" si="20"/>
        <v>100</v>
      </c>
      <c r="Z89" s="181"/>
      <c r="AA89" s="207">
        <f t="shared" si="19"/>
        <v>100</v>
      </c>
    </row>
    <row r="90" spans="1:27" ht="15.75">
      <c r="A90" s="182">
        <v>55</v>
      </c>
      <c r="B90" s="345" t="s">
        <v>417</v>
      </c>
      <c r="C90" s="207"/>
      <c r="D90" s="207"/>
      <c r="E90" s="207"/>
      <c r="F90" s="207"/>
      <c r="G90" s="207"/>
      <c r="H90" s="207"/>
      <c r="I90" s="207">
        <f t="shared" si="21"/>
        <v>5852.852542</v>
      </c>
      <c r="J90" s="207"/>
      <c r="K90" s="207">
        <v>5852.852542</v>
      </c>
      <c r="L90" s="207">
        <f t="shared" si="22"/>
        <v>0</v>
      </c>
      <c r="M90" s="207"/>
      <c r="N90" s="207"/>
      <c r="O90" s="207">
        <f t="shared" si="16"/>
        <v>5852.852542</v>
      </c>
      <c r="P90" s="207"/>
      <c r="Q90" s="207">
        <v>5852.852542</v>
      </c>
      <c r="R90" s="207">
        <f t="shared" si="15"/>
        <v>0</v>
      </c>
      <c r="S90" s="207"/>
      <c r="T90" s="207"/>
      <c r="U90" s="207"/>
      <c r="V90" s="207">
        <f t="shared" si="17"/>
        <v>100</v>
      </c>
      <c r="W90" s="207"/>
      <c r="X90" s="207">
        <f t="shared" si="20"/>
        <v>100</v>
      </c>
      <c r="Y90" s="207"/>
      <c r="Z90" s="181"/>
      <c r="AA90" s="207"/>
    </row>
    <row r="91" spans="1:27" ht="15.75">
      <c r="A91" s="182">
        <v>56</v>
      </c>
      <c r="B91" s="345" t="s">
        <v>418</v>
      </c>
      <c r="C91" s="207"/>
      <c r="D91" s="207"/>
      <c r="E91" s="207"/>
      <c r="F91" s="207"/>
      <c r="G91" s="207"/>
      <c r="H91" s="207"/>
      <c r="I91" s="207">
        <f t="shared" si="21"/>
        <v>6779.464</v>
      </c>
      <c r="J91" s="207"/>
      <c r="K91" s="207">
        <v>6777.564</v>
      </c>
      <c r="L91" s="207">
        <f t="shared" si="22"/>
        <v>1.9</v>
      </c>
      <c r="M91" s="207"/>
      <c r="N91" s="207">
        <v>1.9</v>
      </c>
      <c r="O91" s="207">
        <f t="shared" si="16"/>
        <v>6779.464</v>
      </c>
      <c r="P91" s="207"/>
      <c r="Q91" s="207">
        <v>6777.564</v>
      </c>
      <c r="R91" s="207">
        <f t="shared" si="15"/>
        <v>1.9</v>
      </c>
      <c r="S91" s="207"/>
      <c r="T91" s="207">
        <v>1.9</v>
      </c>
      <c r="U91" s="207"/>
      <c r="V91" s="207">
        <f t="shared" si="17"/>
        <v>100</v>
      </c>
      <c r="W91" s="207"/>
      <c r="X91" s="207">
        <f t="shared" si="20"/>
        <v>100</v>
      </c>
      <c r="Y91" s="207">
        <f t="shared" si="20"/>
        <v>100</v>
      </c>
      <c r="Z91" s="181"/>
      <c r="AA91" s="207">
        <f t="shared" si="19"/>
        <v>100</v>
      </c>
    </row>
    <row r="92" spans="1:27" ht="15.75">
      <c r="A92" s="182">
        <v>57</v>
      </c>
      <c r="B92" s="345" t="s">
        <v>419</v>
      </c>
      <c r="C92" s="207"/>
      <c r="D92" s="207"/>
      <c r="E92" s="207"/>
      <c r="F92" s="207"/>
      <c r="G92" s="207"/>
      <c r="H92" s="207"/>
      <c r="I92" s="207">
        <f t="shared" si="21"/>
        <v>8433.588237</v>
      </c>
      <c r="J92" s="207"/>
      <c r="K92" s="207">
        <v>8433.588237</v>
      </c>
      <c r="L92" s="207">
        <f t="shared" si="22"/>
        <v>0</v>
      </c>
      <c r="M92" s="207"/>
      <c r="N92" s="207"/>
      <c r="O92" s="207">
        <f t="shared" si="16"/>
        <v>8433.588237</v>
      </c>
      <c r="P92" s="207"/>
      <c r="Q92" s="207">
        <v>8433.588237</v>
      </c>
      <c r="R92" s="207">
        <f t="shared" si="15"/>
        <v>0</v>
      </c>
      <c r="S92" s="207"/>
      <c r="T92" s="207"/>
      <c r="U92" s="207"/>
      <c r="V92" s="207">
        <f t="shared" si="17"/>
        <v>100</v>
      </c>
      <c r="W92" s="207"/>
      <c r="X92" s="207">
        <f t="shared" si="20"/>
        <v>100</v>
      </c>
      <c r="Y92" s="207"/>
      <c r="Z92" s="181"/>
      <c r="AA92" s="207"/>
    </row>
    <row r="93" spans="1:27" ht="15.75">
      <c r="A93" s="182">
        <v>58</v>
      </c>
      <c r="B93" s="345" t="s">
        <v>420</v>
      </c>
      <c r="C93" s="207"/>
      <c r="D93" s="207"/>
      <c r="E93" s="207"/>
      <c r="F93" s="207"/>
      <c r="G93" s="207"/>
      <c r="H93" s="207"/>
      <c r="I93" s="207">
        <f t="shared" si="21"/>
        <v>6418.281613</v>
      </c>
      <c r="J93" s="207"/>
      <c r="K93" s="207">
        <v>6418.281613</v>
      </c>
      <c r="L93" s="207">
        <f t="shared" si="22"/>
        <v>0</v>
      </c>
      <c r="M93" s="207"/>
      <c r="N93" s="207"/>
      <c r="O93" s="207">
        <f t="shared" si="16"/>
        <v>6418.281613</v>
      </c>
      <c r="P93" s="207"/>
      <c r="Q93" s="207">
        <v>6418.281613</v>
      </c>
      <c r="R93" s="207">
        <f t="shared" si="15"/>
        <v>0</v>
      </c>
      <c r="S93" s="207"/>
      <c r="T93" s="207"/>
      <c r="U93" s="207"/>
      <c r="V93" s="207">
        <f t="shared" si="17"/>
        <v>100</v>
      </c>
      <c r="W93" s="207"/>
      <c r="X93" s="207">
        <f t="shared" si="20"/>
        <v>100</v>
      </c>
      <c r="Y93" s="207"/>
      <c r="Z93" s="181"/>
      <c r="AA93" s="207"/>
    </row>
    <row r="94" spans="1:27" ht="15.75">
      <c r="A94" s="182">
        <v>59</v>
      </c>
      <c r="B94" s="345" t="s">
        <v>421</v>
      </c>
      <c r="C94" s="207"/>
      <c r="D94" s="207"/>
      <c r="E94" s="207"/>
      <c r="F94" s="207"/>
      <c r="G94" s="207"/>
      <c r="H94" s="207"/>
      <c r="I94" s="207">
        <f t="shared" si="21"/>
        <v>7407.731666</v>
      </c>
      <c r="J94" s="207"/>
      <c r="K94" s="207">
        <v>7407.731666</v>
      </c>
      <c r="L94" s="207">
        <f t="shared" si="22"/>
        <v>0</v>
      </c>
      <c r="M94" s="207"/>
      <c r="N94" s="207"/>
      <c r="O94" s="207">
        <f t="shared" si="16"/>
        <v>7407.731666</v>
      </c>
      <c r="P94" s="207"/>
      <c r="Q94" s="207">
        <v>7407.731666</v>
      </c>
      <c r="R94" s="207">
        <f t="shared" si="15"/>
        <v>0</v>
      </c>
      <c r="S94" s="207"/>
      <c r="T94" s="207"/>
      <c r="U94" s="207"/>
      <c r="V94" s="207">
        <f t="shared" si="17"/>
        <v>100</v>
      </c>
      <c r="W94" s="207"/>
      <c r="X94" s="207">
        <f t="shared" si="20"/>
        <v>100</v>
      </c>
      <c r="Y94" s="207"/>
      <c r="Z94" s="181"/>
      <c r="AA94" s="207"/>
    </row>
    <row r="95" spans="1:27" ht="15.75">
      <c r="A95" s="182">
        <v>60</v>
      </c>
      <c r="B95" s="345" t="s">
        <v>422</v>
      </c>
      <c r="C95" s="207"/>
      <c r="D95" s="207"/>
      <c r="E95" s="207"/>
      <c r="F95" s="207"/>
      <c r="G95" s="207"/>
      <c r="H95" s="207"/>
      <c r="I95" s="207">
        <f t="shared" si="21"/>
        <v>3953.235</v>
      </c>
      <c r="J95" s="207"/>
      <c r="K95" s="207">
        <v>3951.835</v>
      </c>
      <c r="L95" s="207">
        <f t="shared" si="22"/>
        <v>1.4</v>
      </c>
      <c r="M95" s="207"/>
      <c r="N95" s="207">
        <v>1.4</v>
      </c>
      <c r="O95" s="207">
        <f t="shared" si="16"/>
        <v>3953.235</v>
      </c>
      <c r="P95" s="207"/>
      <c r="Q95" s="207">
        <v>3951.835</v>
      </c>
      <c r="R95" s="207">
        <f t="shared" si="15"/>
        <v>1.4</v>
      </c>
      <c r="S95" s="207"/>
      <c r="T95" s="207">
        <v>1.4</v>
      </c>
      <c r="U95" s="207"/>
      <c r="V95" s="207">
        <f t="shared" si="17"/>
        <v>100</v>
      </c>
      <c r="W95" s="207"/>
      <c r="X95" s="207">
        <f t="shared" si="20"/>
        <v>100</v>
      </c>
      <c r="Y95" s="207">
        <f t="shared" si="20"/>
        <v>100</v>
      </c>
      <c r="Z95" s="181"/>
      <c r="AA95" s="207">
        <f t="shared" si="19"/>
        <v>100</v>
      </c>
    </row>
    <row r="96" spans="1:27" ht="15.75">
      <c r="A96" s="182">
        <v>61</v>
      </c>
      <c r="B96" s="345" t="s">
        <v>423</v>
      </c>
      <c r="C96" s="207"/>
      <c r="D96" s="207"/>
      <c r="E96" s="207"/>
      <c r="F96" s="207"/>
      <c r="G96" s="207"/>
      <c r="H96" s="207"/>
      <c r="I96" s="207">
        <f t="shared" si="21"/>
        <v>5336.510796</v>
      </c>
      <c r="J96" s="207"/>
      <c r="K96" s="207">
        <v>5334.810796</v>
      </c>
      <c r="L96" s="207">
        <f t="shared" si="22"/>
        <v>1.7</v>
      </c>
      <c r="M96" s="207"/>
      <c r="N96" s="207">
        <v>1.7</v>
      </c>
      <c r="O96" s="207">
        <f t="shared" si="16"/>
        <v>5336.510796</v>
      </c>
      <c r="P96" s="207"/>
      <c r="Q96" s="207">
        <v>5334.810796</v>
      </c>
      <c r="R96" s="207">
        <f t="shared" si="15"/>
        <v>1.7</v>
      </c>
      <c r="S96" s="207"/>
      <c r="T96" s="207">
        <v>1.7</v>
      </c>
      <c r="U96" s="207"/>
      <c r="V96" s="207">
        <f t="shared" si="17"/>
        <v>100</v>
      </c>
      <c r="W96" s="207"/>
      <c r="X96" s="207">
        <f t="shared" si="20"/>
        <v>100</v>
      </c>
      <c r="Y96" s="207">
        <f t="shared" si="20"/>
        <v>100</v>
      </c>
      <c r="Z96" s="181"/>
      <c r="AA96" s="207">
        <f t="shared" si="19"/>
        <v>100</v>
      </c>
    </row>
    <row r="97" spans="1:27" ht="15.75">
      <c r="A97" s="182">
        <v>62</v>
      </c>
      <c r="B97" s="345" t="s">
        <v>424</v>
      </c>
      <c r="C97" s="207"/>
      <c r="D97" s="207"/>
      <c r="E97" s="207"/>
      <c r="F97" s="207"/>
      <c r="G97" s="207"/>
      <c r="H97" s="207"/>
      <c r="I97" s="207">
        <f t="shared" si="21"/>
        <v>3596.626659</v>
      </c>
      <c r="J97" s="207"/>
      <c r="K97" s="207">
        <v>3595.326659</v>
      </c>
      <c r="L97" s="207">
        <f t="shared" si="22"/>
        <v>1.3</v>
      </c>
      <c r="M97" s="207"/>
      <c r="N97" s="207">
        <v>1.3</v>
      </c>
      <c r="O97" s="207">
        <f t="shared" si="16"/>
        <v>3596.626659</v>
      </c>
      <c r="P97" s="207"/>
      <c r="Q97" s="207">
        <v>3595.326659</v>
      </c>
      <c r="R97" s="207">
        <f t="shared" si="15"/>
        <v>1.3</v>
      </c>
      <c r="S97" s="207"/>
      <c r="T97" s="207">
        <v>1.3</v>
      </c>
      <c r="U97" s="207"/>
      <c r="V97" s="207">
        <f t="shared" si="17"/>
        <v>100</v>
      </c>
      <c r="W97" s="207"/>
      <c r="X97" s="207">
        <f t="shared" si="20"/>
        <v>100</v>
      </c>
      <c r="Y97" s="207">
        <f t="shared" si="20"/>
        <v>100</v>
      </c>
      <c r="Z97" s="181"/>
      <c r="AA97" s="207">
        <f t="shared" si="19"/>
        <v>100</v>
      </c>
    </row>
    <row r="98" spans="1:27" ht="15.75">
      <c r="A98" s="182">
        <v>63</v>
      </c>
      <c r="B98" s="345" t="s">
        <v>425</v>
      </c>
      <c r="C98" s="207"/>
      <c r="D98" s="207"/>
      <c r="E98" s="207"/>
      <c r="F98" s="207"/>
      <c r="G98" s="207"/>
      <c r="H98" s="207"/>
      <c r="I98" s="207">
        <f t="shared" si="21"/>
        <v>6012.816385</v>
      </c>
      <c r="J98" s="207"/>
      <c r="K98" s="207">
        <v>6011.116385</v>
      </c>
      <c r="L98" s="207">
        <f t="shared" si="22"/>
        <v>1.7</v>
      </c>
      <c r="M98" s="207"/>
      <c r="N98" s="207">
        <v>1.7</v>
      </c>
      <c r="O98" s="207">
        <f t="shared" si="16"/>
        <v>6012.816385</v>
      </c>
      <c r="P98" s="207"/>
      <c r="Q98" s="207">
        <v>6011.116385</v>
      </c>
      <c r="R98" s="207">
        <f t="shared" si="15"/>
        <v>1.7</v>
      </c>
      <c r="S98" s="207"/>
      <c r="T98" s="207">
        <v>1.7</v>
      </c>
      <c r="U98" s="207"/>
      <c r="V98" s="207">
        <f t="shared" si="17"/>
        <v>100</v>
      </c>
      <c r="W98" s="207"/>
      <c r="X98" s="207">
        <f t="shared" si="20"/>
        <v>100</v>
      </c>
      <c r="Y98" s="207">
        <f t="shared" si="20"/>
        <v>100</v>
      </c>
      <c r="Z98" s="181"/>
      <c r="AA98" s="207">
        <f t="shared" si="19"/>
        <v>100</v>
      </c>
    </row>
    <row r="99" spans="1:27" ht="15.75">
      <c r="A99" s="182">
        <v>64</v>
      </c>
      <c r="B99" s="345" t="s">
        <v>426</v>
      </c>
      <c r="C99" s="207"/>
      <c r="D99" s="207"/>
      <c r="E99" s="207"/>
      <c r="F99" s="207"/>
      <c r="G99" s="207"/>
      <c r="H99" s="207"/>
      <c r="I99" s="207">
        <f t="shared" si="21"/>
        <v>6088.923995</v>
      </c>
      <c r="J99" s="207"/>
      <c r="K99" s="207">
        <v>6087.223995</v>
      </c>
      <c r="L99" s="207">
        <f t="shared" si="22"/>
        <v>1.7</v>
      </c>
      <c r="M99" s="207"/>
      <c r="N99" s="207">
        <v>1.7</v>
      </c>
      <c r="O99" s="207">
        <f t="shared" si="16"/>
        <v>6088.923995</v>
      </c>
      <c r="P99" s="207"/>
      <c r="Q99" s="207">
        <v>6087.223995</v>
      </c>
      <c r="R99" s="207">
        <f t="shared" si="15"/>
        <v>1.7</v>
      </c>
      <c r="S99" s="207"/>
      <c r="T99" s="207">
        <v>1.7</v>
      </c>
      <c r="U99" s="207"/>
      <c r="V99" s="207">
        <f t="shared" si="17"/>
        <v>100</v>
      </c>
      <c r="W99" s="207"/>
      <c r="X99" s="207">
        <f t="shared" si="20"/>
        <v>100</v>
      </c>
      <c r="Y99" s="207">
        <f t="shared" si="20"/>
        <v>100</v>
      </c>
      <c r="Z99" s="181"/>
      <c r="AA99" s="207">
        <f t="shared" si="19"/>
        <v>100</v>
      </c>
    </row>
    <row r="100" spans="1:27" ht="15.75">
      <c r="A100" s="182">
        <v>65</v>
      </c>
      <c r="B100" s="345" t="s">
        <v>427</v>
      </c>
      <c r="C100" s="207"/>
      <c r="D100" s="207"/>
      <c r="E100" s="207"/>
      <c r="F100" s="207"/>
      <c r="G100" s="207"/>
      <c r="H100" s="207"/>
      <c r="I100" s="207">
        <f t="shared" si="21"/>
        <v>5432.979615</v>
      </c>
      <c r="J100" s="207"/>
      <c r="K100" s="207">
        <v>5431.279615</v>
      </c>
      <c r="L100" s="207">
        <f t="shared" si="22"/>
        <v>1.7</v>
      </c>
      <c r="M100" s="207"/>
      <c r="N100" s="207">
        <v>1.7</v>
      </c>
      <c r="O100" s="207">
        <f t="shared" si="16"/>
        <v>5432.979615</v>
      </c>
      <c r="P100" s="207"/>
      <c r="Q100" s="207">
        <v>5431.279615</v>
      </c>
      <c r="R100" s="207">
        <f t="shared" si="15"/>
        <v>1.7</v>
      </c>
      <c r="S100" s="207"/>
      <c r="T100" s="207">
        <v>1.7</v>
      </c>
      <c r="U100" s="207"/>
      <c r="V100" s="207">
        <f t="shared" si="17"/>
        <v>100</v>
      </c>
      <c r="W100" s="207"/>
      <c r="X100" s="207">
        <f t="shared" si="20"/>
        <v>100</v>
      </c>
      <c r="Y100" s="207">
        <f t="shared" si="20"/>
        <v>100</v>
      </c>
      <c r="Z100" s="181"/>
      <c r="AA100" s="207">
        <f t="shared" si="19"/>
        <v>100</v>
      </c>
    </row>
    <row r="101" spans="1:27" ht="15.75">
      <c r="A101" s="182">
        <v>66</v>
      </c>
      <c r="B101" s="345" t="s">
        <v>428</v>
      </c>
      <c r="C101" s="207"/>
      <c r="D101" s="207"/>
      <c r="E101" s="207"/>
      <c r="F101" s="207"/>
      <c r="G101" s="207"/>
      <c r="H101" s="207"/>
      <c r="I101" s="207">
        <f t="shared" si="21"/>
        <v>4223.342032</v>
      </c>
      <c r="J101" s="207"/>
      <c r="K101" s="207">
        <v>4221.842032</v>
      </c>
      <c r="L101" s="207">
        <f t="shared" si="22"/>
        <v>1.5</v>
      </c>
      <c r="M101" s="207"/>
      <c r="N101" s="207">
        <v>1.5</v>
      </c>
      <c r="O101" s="207">
        <f t="shared" si="16"/>
        <v>4223.342032</v>
      </c>
      <c r="P101" s="207"/>
      <c r="Q101" s="207">
        <v>4221.842032</v>
      </c>
      <c r="R101" s="207">
        <f t="shared" si="15"/>
        <v>1.5</v>
      </c>
      <c r="S101" s="207"/>
      <c r="T101" s="207">
        <v>1.5</v>
      </c>
      <c r="U101" s="207"/>
      <c r="V101" s="207">
        <f t="shared" si="17"/>
        <v>100</v>
      </c>
      <c r="W101" s="207"/>
      <c r="X101" s="207">
        <f t="shared" si="20"/>
        <v>100</v>
      </c>
      <c r="Y101" s="207">
        <f t="shared" si="20"/>
        <v>100</v>
      </c>
      <c r="Z101" s="181"/>
      <c r="AA101" s="207">
        <f t="shared" si="19"/>
        <v>100</v>
      </c>
    </row>
    <row r="102" spans="1:27" ht="15.75">
      <c r="A102" s="182">
        <v>67</v>
      </c>
      <c r="B102" s="345" t="s">
        <v>429</v>
      </c>
      <c r="C102" s="207"/>
      <c r="D102" s="207"/>
      <c r="E102" s="207"/>
      <c r="F102" s="207"/>
      <c r="G102" s="207"/>
      <c r="H102" s="207"/>
      <c r="I102" s="207">
        <f t="shared" si="21"/>
        <v>3924.96954</v>
      </c>
      <c r="J102" s="207"/>
      <c r="K102" s="207">
        <v>3923.86954</v>
      </c>
      <c r="L102" s="207">
        <f t="shared" si="22"/>
        <v>1.1</v>
      </c>
      <c r="M102" s="207"/>
      <c r="N102" s="207">
        <v>1.1</v>
      </c>
      <c r="O102" s="207">
        <f t="shared" si="16"/>
        <v>3924.96954</v>
      </c>
      <c r="P102" s="207"/>
      <c r="Q102" s="207">
        <v>3923.86954</v>
      </c>
      <c r="R102" s="207">
        <f t="shared" si="15"/>
        <v>1.1</v>
      </c>
      <c r="S102" s="207"/>
      <c r="T102" s="207">
        <v>1.1</v>
      </c>
      <c r="U102" s="207"/>
      <c r="V102" s="207">
        <f t="shared" si="17"/>
        <v>100</v>
      </c>
      <c r="W102" s="207"/>
      <c r="X102" s="207">
        <f t="shared" si="20"/>
        <v>100</v>
      </c>
      <c r="Y102" s="207">
        <f t="shared" si="20"/>
        <v>100</v>
      </c>
      <c r="Z102" s="181"/>
      <c r="AA102" s="207">
        <f t="shared" si="19"/>
        <v>100</v>
      </c>
    </row>
    <row r="103" spans="1:27" ht="15.75">
      <c r="A103" s="182">
        <v>68</v>
      </c>
      <c r="B103" s="345" t="s">
        <v>430</v>
      </c>
      <c r="C103" s="207"/>
      <c r="D103" s="207"/>
      <c r="E103" s="207"/>
      <c r="F103" s="207"/>
      <c r="G103" s="207"/>
      <c r="H103" s="207"/>
      <c r="I103" s="207">
        <f t="shared" si="21"/>
        <v>3778.120873</v>
      </c>
      <c r="J103" s="207"/>
      <c r="K103" s="207">
        <v>3776.420873</v>
      </c>
      <c r="L103" s="207">
        <f t="shared" si="22"/>
        <v>1.7</v>
      </c>
      <c r="M103" s="207"/>
      <c r="N103" s="207">
        <v>1.7</v>
      </c>
      <c r="O103" s="207">
        <f t="shared" si="16"/>
        <v>3778.120873</v>
      </c>
      <c r="P103" s="207"/>
      <c r="Q103" s="207">
        <v>3776.420873</v>
      </c>
      <c r="R103" s="207">
        <f>+S103+T103</f>
        <v>1.7</v>
      </c>
      <c r="S103" s="207"/>
      <c r="T103" s="207">
        <v>1.7</v>
      </c>
      <c r="U103" s="207"/>
      <c r="V103" s="207">
        <f t="shared" si="17"/>
        <v>100</v>
      </c>
      <c r="W103" s="207"/>
      <c r="X103" s="207">
        <f t="shared" si="20"/>
        <v>100</v>
      </c>
      <c r="Y103" s="207">
        <f t="shared" si="20"/>
        <v>100</v>
      </c>
      <c r="Z103" s="181"/>
      <c r="AA103" s="207">
        <f t="shared" si="19"/>
        <v>100</v>
      </c>
    </row>
    <row r="104" spans="1:27" ht="15.75">
      <c r="A104" s="182">
        <v>69</v>
      </c>
      <c r="B104" s="346" t="s">
        <v>431</v>
      </c>
      <c r="C104" s="207"/>
      <c r="D104" s="207"/>
      <c r="E104" s="207"/>
      <c r="F104" s="207"/>
      <c r="G104" s="207"/>
      <c r="H104" s="207"/>
      <c r="I104" s="207">
        <f t="shared" si="21"/>
        <v>3739.64143</v>
      </c>
      <c r="J104" s="207"/>
      <c r="K104" s="207">
        <v>3738.24143</v>
      </c>
      <c r="L104" s="207">
        <f t="shared" si="22"/>
        <v>1.4</v>
      </c>
      <c r="M104" s="207"/>
      <c r="N104" s="207">
        <v>1.4</v>
      </c>
      <c r="O104" s="207">
        <f>+P104+Q104+R104</f>
        <v>3739.64143</v>
      </c>
      <c r="P104" s="207"/>
      <c r="Q104" s="207">
        <v>3738.24143</v>
      </c>
      <c r="R104" s="207">
        <f>+S104+T104</f>
        <v>1.4</v>
      </c>
      <c r="S104" s="207"/>
      <c r="T104" s="207">
        <v>1.4</v>
      </c>
      <c r="U104" s="207"/>
      <c r="V104" s="207">
        <f>+O104/I104*100</f>
        <v>100</v>
      </c>
      <c r="W104" s="207"/>
      <c r="X104" s="207">
        <f t="shared" si="20"/>
        <v>100</v>
      </c>
      <c r="Y104" s="207">
        <f t="shared" si="20"/>
        <v>100</v>
      </c>
      <c r="Z104" s="181"/>
      <c r="AA104" s="207">
        <f t="shared" si="19"/>
        <v>100</v>
      </c>
    </row>
    <row r="105" spans="1:27" ht="15.75">
      <c r="A105" s="182">
        <v>70</v>
      </c>
      <c r="B105" s="346" t="s">
        <v>432</v>
      </c>
      <c r="C105" s="207"/>
      <c r="D105" s="207"/>
      <c r="E105" s="207"/>
      <c r="F105" s="207"/>
      <c r="G105" s="207"/>
      <c r="H105" s="207"/>
      <c r="I105" s="207">
        <f t="shared" si="21"/>
        <v>3343.824944</v>
      </c>
      <c r="J105" s="207"/>
      <c r="K105" s="207">
        <v>3342.624944</v>
      </c>
      <c r="L105" s="207">
        <f t="shared" si="22"/>
        <v>1.2</v>
      </c>
      <c r="M105" s="207"/>
      <c r="N105" s="207">
        <v>1.2</v>
      </c>
      <c r="O105" s="207">
        <f>+P105+Q105+R105</f>
        <v>3343.824944</v>
      </c>
      <c r="P105" s="207"/>
      <c r="Q105" s="207">
        <v>3342.624944</v>
      </c>
      <c r="R105" s="207">
        <f>+S105+T105</f>
        <v>1.2</v>
      </c>
      <c r="S105" s="207"/>
      <c r="T105" s="207">
        <v>1.2</v>
      </c>
      <c r="U105" s="207"/>
      <c r="V105" s="207">
        <f>+O105/I105*100</f>
        <v>100</v>
      </c>
      <c r="W105" s="207"/>
      <c r="X105" s="207">
        <f t="shared" si="20"/>
        <v>100</v>
      </c>
      <c r="Y105" s="207">
        <f t="shared" si="20"/>
        <v>100</v>
      </c>
      <c r="Z105" s="181"/>
      <c r="AA105" s="207">
        <f>+T105/N105*100</f>
        <v>100</v>
      </c>
    </row>
    <row r="106" spans="1:27" ht="33" customHeight="1">
      <c r="A106" s="190" t="s">
        <v>63</v>
      </c>
      <c r="B106" s="188" t="s">
        <v>433</v>
      </c>
      <c r="C106" s="207"/>
      <c r="D106" s="207"/>
      <c r="E106" s="207"/>
      <c r="F106" s="207"/>
      <c r="G106" s="207"/>
      <c r="H106" s="207"/>
      <c r="I106" s="207">
        <v>10865</v>
      </c>
      <c r="J106" s="207"/>
      <c r="K106" s="207"/>
      <c r="L106" s="207"/>
      <c r="M106" s="207"/>
      <c r="N106" s="207"/>
      <c r="O106" s="207">
        <f>+P106+Q106+R106</f>
        <v>3633.709</v>
      </c>
      <c r="P106" s="207">
        <v>3633.709</v>
      </c>
      <c r="Q106" s="207"/>
      <c r="R106" s="207"/>
      <c r="S106" s="207"/>
      <c r="T106" s="207"/>
      <c r="U106" s="207"/>
      <c r="V106" s="207">
        <f>+O106/I106*100</f>
        <v>33.44416935112747</v>
      </c>
      <c r="W106" s="347"/>
      <c r="X106" s="207"/>
      <c r="Y106" s="207"/>
      <c r="Z106" s="181"/>
      <c r="AA106" s="207"/>
    </row>
    <row r="107" spans="1:27" ht="50.25" customHeight="1">
      <c r="A107" s="190" t="s">
        <v>72</v>
      </c>
      <c r="B107" s="188" t="s">
        <v>434</v>
      </c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>
        <f>+P107+Q107+R107</f>
        <v>0</v>
      </c>
      <c r="P107" s="207"/>
      <c r="Q107" s="207"/>
      <c r="R107" s="207"/>
      <c r="S107" s="207"/>
      <c r="T107" s="207"/>
      <c r="U107" s="207"/>
      <c r="V107" s="347"/>
      <c r="W107" s="347"/>
      <c r="X107" s="347"/>
      <c r="Y107" s="347"/>
      <c r="Z107" s="348"/>
      <c r="AA107" s="347"/>
    </row>
    <row r="108" spans="1:27" s="63" customFormat="1" ht="54.75" customHeight="1">
      <c r="A108" s="190" t="s">
        <v>73</v>
      </c>
      <c r="B108" s="188" t="s">
        <v>435</v>
      </c>
      <c r="C108" s="208">
        <f aca="true" t="shared" si="23" ref="C108:H108">SUM(C109:C128)</f>
        <v>0</v>
      </c>
      <c r="D108" s="208">
        <f t="shared" si="23"/>
        <v>0</v>
      </c>
      <c r="E108" s="208">
        <f t="shared" si="23"/>
        <v>0</v>
      </c>
      <c r="F108" s="208">
        <f t="shared" si="23"/>
        <v>0</v>
      </c>
      <c r="G108" s="208">
        <f t="shared" si="23"/>
        <v>0</v>
      </c>
      <c r="H108" s="208">
        <f t="shared" si="23"/>
        <v>0</v>
      </c>
      <c r="I108" s="208">
        <f>SUM(I109:I128)</f>
        <v>434570.08103600005</v>
      </c>
      <c r="J108" s="208">
        <f>SUM(J109:J128)</f>
        <v>171089.383659</v>
      </c>
      <c r="K108" s="208">
        <f>SUM(K109:K128)</f>
        <v>230868.70237700004</v>
      </c>
      <c r="L108" s="208">
        <f aca="true" t="shared" si="24" ref="L108:U108">SUM(L109:L128)</f>
        <v>32611.995</v>
      </c>
      <c r="M108" s="208">
        <f t="shared" si="24"/>
        <v>8580</v>
      </c>
      <c r="N108" s="208">
        <f t="shared" si="24"/>
        <v>24031.995</v>
      </c>
      <c r="O108" s="208">
        <f t="shared" si="24"/>
        <v>428444.062161</v>
      </c>
      <c r="P108" s="208">
        <f t="shared" si="24"/>
        <v>121398.876374</v>
      </c>
      <c r="Q108" s="208">
        <f t="shared" si="24"/>
        <v>211955.66408400005</v>
      </c>
      <c r="R108" s="208">
        <f t="shared" si="24"/>
        <v>31706.25</v>
      </c>
      <c r="S108" s="208">
        <f t="shared" si="24"/>
        <v>8550.586</v>
      </c>
      <c r="T108" s="208">
        <f t="shared" si="24"/>
        <v>23155.663999999997</v>
      </c>
      <c r="U108" s="208">
        <f t="shared" si="24"/>
        <v>63383.271703</v>
      </c>
      <c r="V108" s="349">
        <f>O108/(I108+C108)*100</f>
        <v>98.59032659119195</v>
      </c>
      <c r="W108" s="208">
        <f aca="true" t="shared" si="25" ref="W108:W128">P108/(J108+D108)</f>
        <v>0.7095640522965547</v>
      </c>
      <c r="X108" s="349">
        <f>Q108/(E108+K108)*100</f>
        <v>91.80788123367381</v>
      </c>
      <c r="Y108" s="349">
        <f>R108/O108*100</f>
        <v>7.400324289728511</v>
      </c>
      <c r="Z108" s="350"/>
      <c r="AA108" s="349">
        <f>T108/N108*100</f>
        <v>96.35348209751207</v>
      </c>
    </row>
    <row r="109" spans="1:28" ht="15.75">
      <c r="A109" s="182">
        <v>1</v>
      </c>
      <c r="B109" s="351" t="s">
        <v>228</v>
      </c>
      <c r="C109" s="207">
        <f>+D109+E109</f>
        <v>0</v>
      </c>
      <c r="D109" s="207"/>
      <c r="E109" s="207"/>
      <c r="F109" s="207">
        <v>0</v>
      </c>
      <c r="G109" s="207">
        <v>0</v>
      </c>
      <c r="H109" s="207">
        <v>0</v>
      </c>
      <c r="I109" s="207">
        <f>+J109+K109+L109</f>
        <v>26944.075752999997</v>
      </c>
      <c r="J109" s="207">
        <f>'[2]58.ND 31. Chi theo dia ban '!J15</f>
        <v>9352.291</v>
      </c>
      <c r="K109" s="207">
        <f>'[2]58.ND 31. Chi theo dia ban '!K15</f>
        <v>10752.004753000001</v>
      </c>
      <c r="L109" s="207">
        <f>M109+N109</f>
        <v>6839.78</v>
      </c>
      <c r="M109" s="207">
        <f>'[2]58.ND 31. Chi theo dia ban '!M15</f>
        <v>660</v>
      </c>
      <c r="N109" s="207">
        <f>'[2]58.ND 31. Chi theo dia ban '!N15</f>
        <v>6179.78</v>
      </c>
      <c r="O109" s="207">
        <f aca="true" t="shared" si="26" ref="O109:O128">+P109+Q109+R109+U109</f>
        <v>26944.075752999997</v>
      </c>
      <c r="P109" s="207">
        <f>'[2]58.ND 31. Chi theo dia ban '!P15</f>
        <v>9302.291</v>
      </c>
      <c r="Q109" s="207">
        <f>'[2]58.ND 31. Chi theo dia ban '!S15</f>
        <v>10452.004753000001</v>
      </c>
      <c r="R109" s="207">
        <f>S109+T109</f>
        <v>6839.78</v>
      </c>
      <c r="S109" s="207">
        <f>'[2]58.ND 31. Chi theo dia ban '!W15</f>
        <v>660</v>
      </c>
      <c r="T109" s="207">
        <f>'[2]58.ND 31. Chi theo dia ban '!X15</f>
        <v>6179.78</v>
      </c>
      <c r="U109" s="207">
        <f>'[2]58.ND 31. Chi theo dia ban '!Y15</f>
        <v>350</v>
      </c>
      <c r="V109" s="207">
        <f>+O109/(+C109+I109)</f>
        <v>1</v>
      </c>
      <c r="W109" s="207">
        <f t="shared" si="25"/>
        <v>0.9946537163995431</v>
      </c>
      <c r="X109" s="207">
        <f aca="true" t="shared" si="27" ref="X109:Y124">+Q109/K109</f>
        <v>0.9720982266198966</v>
      </c>
      <c r="Y109" s="207">
        <f t="shared" si="27"/>
        <v>1</v>
      </c>
      <c r="Z109" s="181">
        <f aca="true" t="shared" si="28" ref="Z109:AA111">+S109/(M109+G109)</f>
        <v>1</v>
      </c>
      <c r="AA109" s="343">
        <f t="shared" si="28"/>
        <v>1</v>
      </c>
      <c r="AB109" s="327">
        <f>D109+J109+M109-P109-S109</f>
        <v>50</v>
      </c>
    </row>
    <row r="110" spans="1:27" ht="15.75">
      <c r="A110" s="182">
        <v>2</v>
      </c>
      <c r="B110" s="351" t="s">
        <v>224</v>
      </c>
      <c r="C110" s="207">
        <f aca="true" t="shared" si="29" ref="C110:C128">+D110+E110</f>
        <v>0</v>
      </c>
      <c r="D110" s="207"/>
      <c r="E110" s="207"/>
      <c r="F110" s="207">
        <v>0</v>
      </c>
      <c r="G110" s="207">
        <v>0</v>
      </c>
      <c r="H110" s="207">
        <v>0</v>
      </c>
      <c r="I110" s="207">
        <f aca="true" t="shared" si="30" ref="I110:I128">+J110+K110+L110</f>
        <v>29692.223970000003</v>
      </c>
      <c r="J110" s="207">
        <f>'[2]58.ND 31. Chi theo dia ban '!J16</f>
        <v>17296.911186</v>
      </c>
      <c r="K110" s="207">
        <f>'[2]58.ND 31. Chi theo dia ban '!K16</f>
        <v>10763.082784</v>
      </c>
      <c r="L110" s="207">
        <f aca="true" t="shared" si="31" ref="L110:L128">M110+N110</f>
        <v>1632.23</v>
      </c>
      <c r="M110" s="207">
        <f>'[2]58.ND 31. Chi theo dia ban '!M16</f>
        <v>660</v>
      </c>
      <c r="N110" s="207">
        <f>'[2]58.ND 31. Chi theo dia ban '!N16</f>
        <v>972.23</v>
      </c>
      <c r="O110" s="207">
        <f t="shared" si="26"/>
        <v>29692.22397</v>
      </c>
      <c r="P110" s="207">
        <f>'[2]58.ND 31. Chi theo dia ban '!P16</f>
        <v>10852.462186</v>
      </c>
      <c r="Q110" s="207">
        <f>'[2]58.ND 31. Chi theo dia ban '!S16</f>
        <v>11194.374784</v>
      </c>
      <c r="R110" s="207">
        <f aca="true" t="shared" si="32" ref="R110:R128">S110+T110</f>
        <v>770</v>
      </c>
      <c r="S110" s="207">
        <f>'[2]58.ND 31. Chi theo dia ban '!W16</f>
        <v>660</v>
      </c>
      <c r="T110" s="207">
        <f>'[2]58.ND 31. Chi theo dia ban '!X16</f>
        <v>110</v>
      </c>
      <c r="U110" s="207">
        <f>'[2]58.ND 31. Chi theo dia ban '!Y16</f>
        <v>6875.387</v>
      </c>
      <c r="V110" s="207">
        <f aca="true" t="shared" si="33" ref="V110:V128">+O110/(+C110+I110)</f>
        <v>0.9999999999999999</v>
      </c>
      <c r="W110" s="207">
        <f t="shared" si="25"/>
        <v>0.6274219754787148</v>
      </c>
      <c r="X110" s="207">
        <f t="shared" si="27"/>
        <v>1.0400714190028475</v>
      </c>
      <c r="Y110" s="207">
        <f t="shared" si="27"/>
        <v>0.4717472415039547</v>
      </c>
      <c r="Z110" s="181">
        <f t="shared" si="28"/>
        <v>1</v>
      </c>
      <c r="AA110" s="343">
        <f t="shared" si="28"/>
        <v>0.11314195200724109</v>
      </c>
    </row>
    <row r="111" spans="1:27" ht="15.75">
      <c r="A111" s="182">
        <v>3</v>
      </c>
      <c r="B111" s="351" t="s">
        <v>229</v>
      </c>
      <c r="C111" s="207">
        <f t="shared" si="29"/>
        <v>0</v>
      </c>
      <c r="D111" s="207"/>
      <c r="E111" s="207"/>
      <c r="F111" s="207">
        <v>0</v>
      </c>
      <c r="G111" s="207">
        <v>0</v>
      </c>
      <c r="H111" s="207">
        <v>0</v>
      </c>
      <c r="I111" s="207">
        <f t="shared" si="30"/>
        <v>20432.406332000002</v>
      </c>
      <c r="J111" s="207">
        <f>'[2]58.ND 31. Chi theo dia ban '!J17</f>
        <v>8325.9084</v>
      </c>
      <c r="K111" s="207">
        <f>'[2]58.ND 31. Chi theo dia ban '!K17</f>
        <v>11176.544932</v>
      </c>
      <c r="L111" s="207">
        <f t="shared" si="31"/>
        <v>929.953</v>
      </c>
      <c r="M111" s="207">
        <f>'[2]58.ND 31. Chi theo dia ban '!M17</f>
        <v>660</v>
      </c>
      <c r="N111" s="207">
        <f>'[2]58.ND 31. Chi theo dia ban '!N17</f>
        <v>269.953</v>
      </c>
      <c r="O111" s="207">
        <f t="shared" si="26"/>
        <v>20432.406332</v>
      </c>
      <c r="P111" s="207">
        <f>'[2]58.ND 31. Chi theo dia ban '!P17</f>
        <v>6426.779</v>
      </c>
      <c r="Q111" s="207">
        <f>'[2]58.ND 31. Chi theo dia ban '!S17</f>
        <v>10987.544932</v>
      </c>
      <c r="R111" s="207">
        <f t="shared" si="32"/>
        <v>929.953</v>
      </c>
      <c r="S111" s="207">
        <f>'[2]58.ND 31. Chi theo dia ban '!W17</f>
        <v>660</v>
      </c>
      <c r="T111" s="207">
        <f>'[2]58.ND 31. Chi theo dia ban '!X17</f>
        <v>269.953</v>
      </c>
      <c r="U111" s="207">
        <f>'[2]58.ND 31. Chi theo dia ban '!Y17</f>
        <v>2088.1294</v>
      </c>
      <c r="V111" s="207">
        <f t="shared" si="33"/>
        <v>0.9999999999999998</v>
      </c>
      <c r="W111" s="207">
        <f t="shared" si="25"/>
        <v>0.7719012378276946</v>
      </c>
      <c r="X111" s="207">
        <f t="shared" si="27"/>
        <v>0.9830895861690793</v>
      </c>
      <c r="Y111" s="207">
        <f t="shared" si="27"/>
        <v>1</v>
      </c>
      <c r="Z111" s="181">
        <f t="shared" si="28"/>
        <v>1</v>
      </c>
      <c r="AA111" s="343">
        <f t="shared" si="28"/>
        <v>1</v>
      </c>
    </row>
    <row r="112" spans="1:27" ht="15.75">
      <c r="A112" s="182">
        <v>4</v>
      </c>
      <c r="B112" s="351" t="s">
        <v>230</v>
      </c>
      <c r="C112" s="207">
        <f t="shared" si="29"/>
        <v>0</v>
      </c>
      <c r="D112" s="207"/>
      <c r="E112" s="207"/>
      <c r="F112" s="207">
        <v>0</v>
      </c>
      <c r="G112" s="207">
        <v>0</v>
      </c>
      <c r="H112" s="207">
        <v>0</v>
      </c>
      <c r="I112" s="207">
        <f t="shared" si="30"/>
        <v>17751.925694999998</v>
      </c>
      <c r="J112" s="207">
        <f>'[2]58.ND 31. Chi theo dia ban '!J18</f>
        <v>8532.444614</v>
      </c>
      <c r="K112" s="207">
        <f>'[2]58.ND 31. Chi theo dia ban '!K18</f>
        <v>9219.481081</v>
      </c>
      <c r="L112" s="207">
        <f t="shared" si="31"/>
        <v>0</v>
      </c>
      <c r="M112" s="207">
        <f>'[2]58.ND 31. Chi theo dia ban '!M18</f>
        <v>0</v>
      </c>
      <c r="N112" s="207">
        <f>'[2]58.ND 31. Chi theo dia ban '!N18</f>
        <v>0</v>
      </c>
      <c r="O112" s="207">
        <f t="shared" si="26"/>
        <v>17751.925694999998</v>
      </c>
      <c r="P112" s="207">
        <f>'[2]58.ND 31. Chi theo dia ban '!P18</f>
        <v>3467.7096</v>
      </c>
      <c r="Q112" s="207">
        <f>'[2]58.ND 31. Chi theo dia ban '!S18</f>
        <v>8169.481081</v>
      </c>
      <c r="R112" s="207">
        <f t="shared" si="32"/>
        <v>0</v>
      </c>
      <c r="S112" s="207">
        <f>'[2]58.ND 31. Chi theo dia ban '!W18</f>
        <v>0</v>
      </c>
      <c r="T112" s="207">
        <f>'[2]58.ND 31. Chi theo dia ban '!X18</f>
        <v>0</v>
      </c>
      <c r="U112" s="207">
        <f>'[2]58.ND 31. Chi theo dia ban '!Y18</f>
        <v>6114.735014</v>
      </c>
      <c r="V112" s="207">
        <f t="shared" si="33"/>
        <v>1</v>
      </c>
      <c r="W112" s="207">
        <f t="shared" si="25"/>
        <v>0.4064145455231197</v>
      </c>
      <c r="X112" s="207">
        <f t="shared" si="27"/>
        <v>0.8861107267562058</v>
      </c>
      <c r="Y112" s="207"/>
      <c r="Z112" s="181"/>
      <c r="AA112" s="343"/>
    </row>
    <row r="113" spans="1:27" ht="15.75">
      <c r="A113" s="182">
        <v>5</v>
      </c>
      <c r="B113" s="351" t="s">
        <v>226</v>
      </c>
      <c r="C113" s="207">
        <f t="shared" si="29"/>
        <v>0</v>
      </c>
      <c r="D113" s="207"/>
      <c r="E113" s="207"/>
      <c r="F113" s="207">
        <v>0</v>
      </c>
      <c r="G113" s="207">
        <v>0</v>
      </c>
      <c r="H113" s="207">
        <v>0</v>
      </c>
      <c r="I113" s="207">
        <f t="shared" si="30"/>
        <v>21374.413799</v>
      </c>
      <c r="J113" s="207">
        <f>'[2]58.ND 31. Chi theo dia ban '!J19</f>
        <v>5382.6628</v>
      </c>
      <c r="K113" s="207">
        <f>'[2]58.ND 31. Chi theo dia ban '!K19</f>
        <v>13675.325999000002</v>
      </c>
      <c r="L113" s="207">
        <f t="shared" si="31"/>
        <v>2316.425</v>
      </c>
      <c r="M113" s="207">
        <f>'[2]58.ND 31. Chi theo dia ban '!M19</f>
        <v>0</v>
      </c>
      <c r="N113" s="207">
        <f>'[2]58.ND 31. Chi theo dia ban '!N19</f>
        <v>2316.425</v>
      </c>
      <c r="O113" s="207">
        <f t="shared" si="26"/>
        <v>19057.988799</v>
      </c>
      <c r="P113" s="207">
        <f>'[2]58.ND 31. Chi theo dia ban '!P19</f>
        <v>3631.3008</v>
      </c>
      <c r="Q113" s="207">
        <f>'[2]58.ND 31. Chi theo dia ban '!S19</f>
        <v>11070.262999</v>
      </c>
      <c r="R113" s="207">
        <f t="shared" si="32"/>
        <v>2316.425</v>
      </c>
      <c r="S113" s="207">
        <f>'[2]58.ND 31. Chi theo dia ban '!W19</f>
        <v>0</v>
      </c>
      <c r="T113" s="207">
        <f>'[2]58.ND 31. Chi theo dia ban '!X19</f>
        <v>2316.425</v>
      </c>
      <c r="U113" s="207">
        <f>'[2]58.ND 31. Chi theo dia ban '!Y19</f>
        <v>2040</v>
      </c>
      <c r="V113" s="207">
        <f t="shared" si="33"/>
        <v>0.8916262676589345</v>
      </c>
      <c r="W113" s="207">
        <f t="shared" si="25"/>
        <v>0.6746290702066643</v>
      </c>
      <c r="X113" s="207">
        <f t="shared" si="27"/>
        <v>0.8095063327784292</v>
      </c>
      <c r="Y113" s="207"/>
      <c r="Z113" s="181"/>
      <c r="AA113" s="343"/>
    </row>
    <row r="114" spans="1:27" ht="15.75">
      <c r="A114" s="182">
        <v>6</v>
      </c>
      <c r="B114" s="351" t="s">
        <v>231</v>
      </c>
      <c r="C114" s="207">
        <f t="shared" si="29"/>
        <v>0</v>
      </c>
      <c r="D114" s="207"/>
      <c r="E114" s="207"/>
      <c r="F114" s="207">
        <v>0</v>
      </c>
      <c r="G114" s="207">
        <v>0</v>
      </c>
      <c r="H114" s="207">
        <v>0</v>
      </c>
      <c r="I114" s="207">
        <f t="shared" si="30"/>
        <v>37384.915574</v>
      </c>
      <c r="J114" s="207">
        <f>'[2]58.ND 31. Chi theo dia ban '!J20</f>
        <v>17779.475867</v>
      </c>
      <c r="K114" s="207">
        <f>'[2]58.ND 31. Chi theo dia ban '!K20</f>
        <v>15795.849707000001</v>
      </c>
      <c r="L114" s="207">
        <f t="shared" si="31"/>
        <v>3809.59</v>
      </c>
      <c r="M114" s="207">
        <f>'[2]58.ND 31. Chi theo dia ban '!M20</f>
        <v>0</v>
      </c>
      <c r="N114" s="207">
        <f>'[2]58.ND 31. Chi theo dia ban '!N20</f>
        <v>3809.59</v>
      </c>
      <c r="O114" s="207">
        <f t="shared" si="26"/>
        <v>33575.325574</v>
      </c>
      <c r="P114" s="207">
        <f>'[2]58.ND 31. Chi theo dia ban '!P20</f>
        <v>10832.35061</v>
      </c>
      <c r="Q114" s="207">
        <f>'[2]58.ND 31. Chi theo dia ban '!S20</f>
        <v>11204.365707</v>
      </c>
      <c r="R114" s="207">
        <f t="shared" si="32"/>
        <v>3809.59</v>
      </c>
      <c r="S114" s="207">
        <f>'[2]58.ND 31. Chi theo dia ban '!W20</f>
        <v>0</v>
      </c>
      <c r="T114" s="207">
        <f>'[2]58.ND 31. Chi theo dia ban '!X20</f>
        <v>3809.59</v>
      </c>
      <c r="U114" s="207">
        <f>'[2]58.ND 31. Chi theo dia ban '!Y20</f>
        <v>7729.019257</v>
      </c>
      <c r="V114" s="207">
        <f t="shared" si="33"/>
        <v>0.8980982050779475</v>
      </c>
      <c r="W114" s="207">
        <f t="shared" si="25"/>
        <v>0.6092615266632032</v>
      </c>
      <c r="X114" s="207">
        <f t="shared" si="27"/>
        <v>0.7093233928425349</v>
      </c>
      <c r="Y114" s="207"/>
      <c r="Z114" s="181"/>
      <c r="AA114" s="343"/>
    </row>
    <row r="115" spans="1:27" ht="15.75">
      <c r="A115" s="182">
        <v>7</v>
      </c>
      <c r="B115" s="351" t="s">
        <v>232</v>
      </c>
      <c r="C115" s="207">
        <f t="shared" si="29"/>
        <v>0</v>
      </c>
      <c r="D115" s="207"/>
      <c r="E115" s="207"/>
      <c r="F115" s="207">
        <v>0</v>
      </c>
      <c r="G115" s="207">
        <v>0</v>
      </c>
      <c r="H115" s="207">
        <v>0</v>
      </c>
      <c r="I115" s="207">
        <f t="shared" si="30"/>
        <v>18861.669284</v>
      </c>
      <c r="J115" s="207">
        <f>'[2]58.ND 31. Chi theo dia ban '!J21</f>
        <v>10160.749</v>
      </c>
      <c r="K115" s="207">
        <f>'[2]58.ND 31. Chi theo dia ban '!K21</f>
        <v>6715.4902839999995</v>
      </c>
      <c r="L115" s="207">
        <f t="shared" si="31"/>
        <v>1985.43</v>
      </c>
      <c r="M115" s="207">
        <f>'[2]58.ND 31. Chi theo dia ban '!M21</f>
        <v>660</v>
      </c>
      <c r="N115" s="207">
        <f>'[2]58.ND 31. Chi theo dia ban '!N21</f>
        <v>1325.43</v>
      </c>
      <c r="O115" s="207">
        <f t="shared" si="26"/>
        <v>18861.669284</v>
      </c>
      <c r="P115" s="207">
        <f>'[2]58.ND 31. Chi theo dia ban '!P21</f>
        <v>6924.164</v>
      </c>
      <c r="Q115" s="207">
        <f>'[2]58.ND 31. Chi theo dia ban '!S21</f>
        <v>6715.4902839999995</v>
      </c>
      <c r="R115" s="207">
        <f t="shared" si="32"/>
        <v>1985.43</v>
      </c>
      <c r="S115" s="207">
        <f>'[2]58.ND 31. Chi theo dia ban '!W21</f>
        <v>660</v>
      </c>
      <c r="T115" s="207">
        <f>'[2]58.ND 31. Chi theo dia ban '!X21</f>
        <v>1325.43</v>
      </c>
      <c r="U115" s="207">
        <f>'[2]58.ND 31. Chi theo dia ban '!Y21</f>
        <v>3236.585</v>
      </c>
      <c r="V115" s="207">
        <f t="shared" si="33"/>
        <v>1</v>
      </c>
      <c r="W115" s="207">
        <f t="shared" si="25"/>
        <v>0.6814619670262497</v>
      </c>
      <c r="X115" s="207">
        <f t="shared" si="27"/>
        <v>1</v>
      </c>
      <c r="Y115" s="207">
        <f>+R115/L115</f>
        <v>1</v>
      </c>
      <c r="Z115" s="181">
        <f aca="true" t="shared" si="34" ref="Z115:AA117">+S115/(M115+G115)</f>
        <v>1</v>
      </c>
      <c r="AA115" s="343">
        <f t="shared" si="34"/>
        <v>1</v>
      </c>
    </row>
    <row r="116" spans="1:27" ht="15.75">
      <c r="A116" s="182">
        <v>8</v>
      </c>
      <c r="B116" s="351" t="s">
        <v>233</v>
      </c>
      <c r="C116" s="207">
        <f t="shared" si="29"/>
        <v>0</v>
      </c>
      <c r="D116" s="207"/>
      <c r="E116" s="207"/>
      <c r="F116" s="207">
        <v>0</v>
      </c>
      <c r="G116" s="207">
        <v>0</v>
      </c>
      <c r="H116" s="207">
        <v>0</v>
      </c>
      <c r="I116" s="207">
        <f t="shared" si="30"/>
        <v>13960.311838999998</v>
      </c>
      <c r="J116" s="207">
        <f>'[2]58.ND 31. Chi theo dia ban '!J22</f>
        <v>2453.656207</v>
      </c>
      <c r="K116" s="207">
        <f>'[2]58.ND 31. Chi theo dia ban '!K22</f>
        <v>8831.660632</v>
      </c>
      <c r="L116" s="207">
        <f t="shared" si="31"/>
        <v>2674.995</v>
      </c>
      <c r="M116" s="207">
        <f>'[2]58.ND 31. Chi theo dia ban '!M22</f>
        <v>660</v>
      </c>
      <c r="N116" s="207">
        <f>'[2]58.ND 31. Chi theo dia ban '!N22</f>
        <v>2014.995</v>
      </c>
      <c r="O116" s="207">
        <f t="shared" si="26"/>
        <v>13960.311839000002</v>
      </c>
      <c r="P116" s="207">
        <f>'[2]58.ND 31. Chi theo dia ban '!P22</f>
        <v>1510.2841500000002</v>
      </c>
      <c r="Q116" s="207">
        <f>'[2]58.ND 31. Chi theo dia ban '!S22</f>
        <v>7499.899575</v>
      </c>
      <c r="R116" s="207">
        <f t="shared" si="32"/>
        <v>2645.581</v>
      </c>
      <c r="S116" s="207">
        <f>'[2]58.ND 31. Chi theo dia ban '!W22</f>
        <v>630.586</v>
      </c>
      <c r="T116" s="207">
        <f>'[2]58.ND 31. Chi theo dia ban '!X22</f>
        <v>2014.995</v>
      </c>
      <c r="U116" s="207">
        <f>'[2]58.ND 31. Chi theo dia ban '!Y22</f>
        <v>2304.547114</v>
      </c>
      <c r="V116" s="207">
        <f t="shared" si="33"/>
        <v>1.0000000000000002</v>
      </c>
      <c r="W116" s="207">
        <f t="shared" si="25"/>
        <v>0.6155239457310003</v>
      </c>
      <c r="X116" s="207">
        <f t="shared" si="27"/>
        <v>0.8492060426128024</v>
      </c>
      <c r="Y116" s="207">
        <f>+R116/L116</f>
        <v>0.989004091596433</v>
      </c>
      <c r="Z116" s="181">
        <f t="shared" si="34"/>
        <v>0.9554333333333334</v>
      </c>
      <c r="AA116" s="343">
        <f t="shared" si="34"/>
        <v>1</v>
      </c>
    </row>
    <row r="117" spans="1:27" ht="15.75">
      <c r="A117" s="182">
        <v>9</v>
      </c>
      <c r="B117" s="351" t="s">
        <v>234</v>
      </c>
      <c r="C117" s="207">
        <f t="shared" si="29"/>
        <v>0</v>
      </c>
      <c r="D117" s="207"/>
      <c r="E117" s="207"/>
      <c r="F117" s="207">
        <v>0</v>
      </c>
      <c r="G117" s="207">
        <v>0</v>
      </c>
      <c r="H117" s="207">
        <v>0</v>
      </c>
      <c r="I117" s="207">
        <f t="shared" si="30"/>
        <v>16388.303699</v>
      </c>
      <c r="J117" s="207">
        <f>'[2]58.ND 31. Chi theo dia ban '!J23</f>
        <v>5201.393602</v>
      </c>
      <c r="K117" s="207">
        <f>'[2]58.ND 31. Chi theo dia ban '!K23</f>
        <v>7921.250097</v>
      </c>
      <c r="L117" s="207">
        <f t="shared" si="31"/>
        <v>3265.66</v>
      </c>
      <c r="M117" s="207">
        <f>'[2]58.ND 31. Chi theo dia ban '!M23</f>
        <v>660</v>
      </c>
      <c r="N117" s="207">
        <f>'[2]58.ND 31. Chi theo dia ban '!N23</f>
        <v>2605.66</v>
      </c>
      <c r="O117" s="207">
        <f t="shared" si="26"/>
        <v>16388.303699</v>
      </c>
      <c r="P117" s="207">
        <f>'[2]58.ND 31. Chi theo dia ban '!P23</f>
        <v>3557.0420000000004</v>
      </c>
      <c r="Q117" s="207">
        <f>'[2]58.ND 31. Chi theo dia ban '!S23</f>
        <v>7341.910097</v>
      </c>
      <c r="R117" s="207">
        <f t="shared" si="32"/>
        <v>3265.66</v>
      </c>
      <c r="S117" s="207">
        <f>'[2]58.ND 31. Chi theo dia ban '!W23</f>
        <v>660</v>
      </c>
      <c r="T117" s="207">
        <f>'[2]58.ND 31. Chi theo dia ban '!X23</f>
        <v>2605.66</v>
      </c>
      <c r="U117" s="207">
        <f>'[2]58.ND 31. Chi theo dia ban '!Y23</f>
        <v>2223.691602</v>
      </c>
      <c r="V117" s="207">
        <f t="shared" si="33"/>
        <v>1</v>
      </c>
      <c r="W117" s="207">
        <f t="shared" si="25"/>
        <v>0.683863262844072</v>
      </c>
      <c r="X117" s="207">
        <f t="shared" si="27"/>
        <v>0.9268625541542473</v>
      </c>
      <c r="Y117" s="207">
        <f>+R117/L117</f>
        <v>1</v>
      </c>
      <c r="Z117" s="181">
        <f t="shared" si="34"/>
        <v>1</v>
      </c>
      <c r="AA117" s="343">
        <f t="shared" si="34"/>
        <v>1</v>
      </c>
    </row>
    <row r="118" spans="1:27" ht="15.75">
      <c r="A118" s="182">
        <v>10</v>
      </c>
      <c r="B118" s="351" t="s">
        <v>235</v>
      </c>
      <c r="C118" s="207">
        <f t="shared" si="29"/>
        <v>0</v>
      </c>
      <c r="D118" s="207"/>
      <c r="E118" s="207"/>
      <c r="F118" s="207">
        <v>0</v>
      </c>
      <c r="G118" s="207">
        <v>0</v>
      </c>
      <c r="H118" s="207">
        <v>0</v>
      </c>
      <c r="I118" s="207">
        <f t="shared" si="30"/>
        <v>37020.1058</v>
      </c>
      <c r="J118" s="207">
        <f>'[2]58.ND 31. Chi theo dia ban '!J24</f>
        <v>14611.124406</v>
      </c>
      <c r="K118" s="207">
        <f>'[2]58.ND 31. Chi theo dia ban '!K24</f>
        <v>22408.981394</v>
      </c>
      <c r="L118" s="207">
        <f t="shared" si="31"/>
        <v>0</v>
      </c>
      <c r="M118" s="207">
        <f>'[2]58.ND 31. Chi theo dia ban '!M24</f>
        <v>0</v>
      </c>
      <c r="N118" s="207">
        <f>'[2]58.ND 31. Chi theo dia ban '!N24</f>
        <v>0</v>
      </c>
      <c r="O118" s="207">
        <f t="shared" si="26"/>
        <v>37020.106700000004</v>
      </c>
      <c r="P118" s="207">
        <f>'[2]58.ND 31. Chi theo dia ban '!P24</f>
        <v>12129.803406</v>
      </c>
      <c r="Q118" s="207">
        <f>'[2]58.ND 31. Chi theo dia ban '!S24</f>
        <v>21908.981394</v>
      </c>
      <c r="R118" s="207">
        <f t="shared" si="32"/>
        <v>0</v>
      </c>
      <c r="S118" s="207">
        <f>'[2]58.ND 31. Chi theo dia ban '!W24</f>
        <v>0</v>
      </c>
      <c r="T118" s="207">
        <f>'[2]58.ND 31. Chi theo dia ban '!X24</f>
        <v>0</v>
      </c>
      <c r="U118" s="207">
        <f>'[2]58.ND 31. Chi theo dia ban '!Y24</f>
        <v>2981.3219</v>
      </c>
      <c r="V118" s="207">
        <f t="shared" si="33"/>
        <v>1.0000000243111138</v>
      </c>
      <c r="W118" s="207">
        <f t="shared" si="25"/>
        <v>0.8301759035751516</v>
      </c>
      <c r="X118" s="207">
        <f t="shared" si="27"/>
        <v>0.9776875177318914</v>
      </c>
      <c r="Y118" s="207"/>
      <c r="Z118" s="181"/>
      <c r="AA118" s="343"/>
    </row>
    <row r="119" spans="1:27" ht="15.75">
      <c r="A119" s="182">
        <v>11</v>
      </c>
      <c r="B119" s="351" t="s">
        <v>236</v>
      </c>
      <c r="C119" s="207">
        <f t="shared" si="29"/>
        <v>0</v>
      </c>
      <c r="D119" s="207"/>
      <c r="E119" s="207"/>
      <c r="F119" s="207">
        <v>0</v>
      </c>
      <c r="G119" s="207">
        <v>0</v>
      </c>
      <c r="H119" s="207">
        <v>0</v>
      </c>
      <c r="I119" s="207">
        <f t="shared" si="30"/>
        <v>16515.883757000003</v>
      </c>
      <c r="J119" s="207">
        <f>'[2]58.ND 31. Chi theo dia ban '!J25</f>
        <v>4293.888897000001</v>
      </c>
      <c r="K119" s="207">
        <f>'[2]58.ND 31. Chi theo dia ban '!K25</f>
        <v>11265.03986</v>
      </c>
      <c r="L119" s="207">
        <f t="shared" si="31"/>
        <v>956.955</v>
      </c>
      <c r="M119" s="207">
        <f>'[2]58.ND 31. Chi theo dia ban '!M25</f>
        <v>660</v>
      </c>
      <c r="N119" s="207">
        <f>'[2]58.ND 31. Chi theo dia ban '!N25</f>
        <v>296.95500000000004</v>
      </c>
      <c r="O119" s="207">
        <f t="shared" si="26"/>
        <v>16515.883757</v>
      </c>
      <c r="P119" s="207">
        <f>'[2]58.ND 31. Chi theo dia ban '!P25</f>
        <v>1722.386938</v>
      </c>
      <c r="Q119" s="207">
        <f>'[2]58.ND 31. Chi theo dia ban '!S25</f>
        <v>10264.03986</v>
      </c>
      <c r="R119" s="207">
        <f t="shared" si="32"/>
        <v>956.955</v>
      </c>
      <c r="S119" s="207">
        <f>'[2]58.ND 31. Chi theo dia ban '!W25</f>
        <v>660</v>
      </c>
      <c r="T119" s="207">
        <f>'[2]58.ND 31. Chi theo dia ban '!X25</f>
        <v>296.95500000000004</v>
      </c>
      <c r="U119" s="207">
        <f>'[2]58.ND 31. Chi theo dia ban '!Y25</f>
        <v>3572.501959</v>
      </c>
      <c r="V119" s="207">
        <f t="shared" si="33"/>
        <v>0.9999999999999998</v>
      </c>
      <c r="W119" s="207">
        <f t="shared" si="25"/>
        <v>0.401125175642848</v>
      </c>
      <c r="X119" s="207">
        <f t="shared" si="27"/>
        <v>0.9111410157052032</v>
      </c>
      <c r="Y119" s="207">
        <f>+R119/L119</f>
        <v>1</v>
      </c>
      <c r="Z119" s="181">
        <f aca="true" t="shared" si="35" ref="Z119:AA123">+S119/(M119+G119)</f>
        <v>1</v>
      </c>
      <c r="AA119" s="343">
        <f t="shared" si="35"/>
        <v>1</v>
      </c>
    </row>
    <row r="120" spans="1:27" ht="15.75">
      <c r="A120" s="182">
        <v>12</v>
      </c>
      <c r="B120" s="351" t="s">
        <v>237</v>
      </c>
      <c r="C120" s="207">
        <f t="shared" si="29"/>
        <v>0</v>
      </c>
      <c r="D120" s="207"/>
      <c r="E120" s="207"/>
      <c r="F120" s="207">
        <v>0</v>
      </c>
      <c r="G120" s="207">
        <v>0</v>
      </c>
      <c r="H120" s="207">
        <v>0</v>
      </c>
      <c r="I120" s="207">
        <f t="shared" si="30"/>
        <v>19310.893386999996</v>
      </c>
      <c r="J120" s="207">
        <f>'[2]58.ND 31. Chi theo dia ban '!J26</f>
        <v>7715.666218</v>
      </c>
      <c r="K120" s="207">
        <f>'[2]58.ND 31. Chi theo dia ban '!K26</f>
        <v>10145.142168999999</v>
      </c>
      <c r="L120" s="207">
        <f t="shared" si="31"/>
        <v>1450.085</v>
      </c>
      <c r="M120" s="207">
        <f>'[2]58.ND 31. Chi theo dia ban '!M26</f>
        <v>660</v>
      </c>
      <c r="N120" s="207">
        <f>'[2]58.ND 31. Chi theo dia ban '!N26</f>
        <v>790.085</v>
      </c>
      <c r="O120" s="207">
        <f t="shared" si="26"/>
        <v>19310.893382</v>
      </c>
      <c r="P120" s="207">
        <f>'[2]58.ND 31. Chi theo dia ban '!P26</f>
        <v>6664.996959</v>
      </c>
      <c r="Q120" s="207">
        <f>'[2]58.ND 31. Chi theo dia ban '!S26</f>
        <v>9909.326169</v>
      </c>
      <c r="R120" s="207">
        <f t="shared" si="32"/>
        <v>1450.085</v>
      </c>
      <c r="S120" s="207">
        <f>'[2]58.ND 31. Chi theo dia ban '!W26</f>
        <v>660</v>
      </c>
      <c r="T120" s="207">
        <f>'[2]58.ND 31. Chi theo dia ban '!X26</f>
        <v>790.085</v>
      </c>
      <c r="U120" s="207">
        <f>'[2]58.ND 31. Chi theo dia ban '!Y26</f>
        <v>1286.485254</v>
      </c>
      <c r="V120" s="207">
        <f t="shared" si="33"/>
        <v>0.9999999997410789</v>
      </c>
      <c r="W120" s="207">
        <f t="shared" si="25"/>
        <v>0.8638265019099871</v>
      </c>
      <c r="X120" s="207">
        <f t="shared" si="27"/>
        <v>0.9767557717702006</v>
      </c>
      <c r="Y120" s="207">
        <f>+R120/L120</f>
        <v>1</v>
      </c>
      <c r="Z120" s="181">
        <f t="shared" si="35"/>
        <v>1</v>
      </c>
      <c r="AA120" s="343">
        <f t="shared" si="35"/>
        <v>1</v>
      </c>
    </row>
    <row r="121" spans="1:27" ht="15.75">
      <c r="A121" s="182">
        <v>13</v>
      </c>
      <c r="B121" s="352" t="s">
        <v>238</v>
      </c>
      <c r="C121" s="207">
        <f t="shared" si="29"/>
        <v>0</v>
      </c>
      <c r="D121" s="207"/>
      <c r="E121" s="207"/>
      <c r="F121" s="207">
        <v>0</v>
      </c>
      <c r="G121" s="207">
        <v>0</v>
      </c>
      <c r="H121" s="207">
        <v>0</v>
      </c>
      <c r="I121" s="207">
        <f t="shared" si="30"/>
        <v>22375.391864999998</v>
      </c>
      <c r="J121" s="207">
        <f>'[2]58.ND 31. Chi theo dia ban '!J27</f>
        <v>7809.808596999999</v>
      </c>
      <c r="K121" s="207">
        <f>'[2]58.ND 31. Chi theo dia ban '!K27</f>
        <v>12346.848268</v>
      </c>
      <c r="L121" s="207">
        <f t="shared" si="31"/>
        <v>2218.735</v>
      </c>
      <c r="M121" s="207">
        <f>'[2]58.ND 31. Chi theo dia ban '!M27</f>
        <v>660</v>
      </c>
      <c r="N121" s="207">
        <f>'[2]58.ND 31. Chi theo dia ban '!N27</f>
        <v>1558.7350000000001</v>
      </c>
      <c r="O121" s="207">
        <f t="shared" si="26"/>
        <v>22375.387095000002</v>
      </c>
      <c r="P121" s="207">
        <f>'[2]58.ND 31. Chi theo dia ban '!P27</f>
        <v>4570.98705</v>
      </c>
      <c r="Q121" s="207">
        <f>'[2]58.ND 31. Chi theo dia ban '!S27</f>
        <v>10531.663968</v>
      </c>
      <c r="R121" s="207">
        <f t="shared" si="32"/>
        <v>2204.634</v>
      </c>
      <c r="S121" s="207">
        <f>'[2]58.ND 31. Chi theo dia ban '!W27</f>
        <v>660</v>
      </c>
      <c r="T121" s="207">
        <f>'[2]58.ND 31. Chi theo dia ban '!X27</f>
        <v>1544.634</v>
      </c>
      <c r="U121" s="207">
        <f>'[2]58.ND 31. Chi theo dia ban '!Y27</f>
        <v>5068.102077</v>
      </c>
      <c r="V121" s="207">
        <f t="shared" si="33"/>
        <v>0.9999997868193762</v>
      </c>
      <c r="W121" s="207">
        <f t="shared" si="25"/>
        <v>0.5852879738635162</v>
      </c>
      <c r="X121" s="207">
        <f t="shared" si="27"/>
        <v>0.8529839955428535</v>
      </c>
      <c r="Y121" s="207">
        <f>+R121/L121</f>
        <v>0.9936445767520682</v>
      </c>
      <c r="Z121" s="181">
        <f t="shared" si="35"/>
        <v>1</v>
      </c>
      <c r="AA121" s="343">
        <f t="shared" si="35"/>
        <v>0.9909535617022778</v>
      </c>
    </row>
    <row r="122" spans="1:27" ht="15.75">
      <c r="A122" s="182">
        <v>14</v>
      </c>
      <c r="B122" s="351" t="s">
        <v>239</v>
      </c>
      <c r="C122" s="207">
        <f t="shared" si="29"/>
        <v>0</v>
      </c>
      <c r="D122" s="207"/>
      <c r="E122" s="207"/>
      <c r="F122" s="207"/>
      <c r="G122" s="207"/>
      <c r="H122" s="207">
        <v>0</v>
      </c>
      <c r="I122" s="207">
        <f t="shared" si="30"/>
        <v>18978.987085</v>
      </c>
      <c r="J122" s="207">
        <f>'[2]58.ND 31. Chi theo dia ban '!J28</f>
        <v>5343.922192</v>
      </c>
      <c r="K122" s="207">
        <f>'[2]58.ND 31. Chi theo dia ban '!K28</f>
        <v>12152.907893000001</v>
      </c>
      <c r="L122" s="207">
        <f t="shared" si="31"/>
        <v>1482.157</v>
      </c>
      <c r="M122" s="207">
        <f>'[2]58.ND 31. Chi theo dia ban '!M28</f>
        <v>660</v>
      </c>
      <c r="N122" s="207">
        <f>'[2]58.ND 31. Chi theo dia ban '!N28</f>
        <v>822.1569999999999</v>
      </c>
      <c r="O122" s="207">
        <f t="shared" si="26"/>
        <v>18978.987085</v>
      </c>
      <c r="P122" s="207">
        <f>'[2]58.ND 31. Chi theo dia ban '!P28</f>
        <v>5069.938192</v>
      </c>
      <c r="Q122" s="207">
        <f>'[2]58.ND 31. Chi theo dia ban '!S28</f>
        <v>11118.576893000001</v>
      </c>
      <c r="R122" s="207">
        <f t="shared" si="32"/>
        <v>1482.157</v>
      </c>
      <c r="S122" s="207">
        <f>'[2]58.ND 31. Chi theo dia ban '!W28</f>
        <v>660</v>
      </c>
      <c r="T122" s="207">
        <f>'[2]58.ND 31. Chi theo dia ban '!X28</f>
        <v>822.1569999999999</v>
      </c>
      <c r="U122" s="207">
        <f>'[2]58.ND 31. Chi theo dia ban '!Y28</f>
        <v>1308.315</v>
      </c>
      <c r="V122" s="207">
        <f t="shared" si="33"/>
        <v>1</v>
      </c>
      <c r="W122" s="207">
        <f t="shared" si="25"/>
        <v>0.9487297924340736</v>
      </c>
      <c r="X122" s="207">
        <f t="shared" si="27"/>
        <v>0.9148902460952767</v>
      </c>
      <c r="Y122" s="207">
        <f>+R122/L122</f>
        <v>1</v>
      </c>
      <c r="Z122" s="181">
        <f t="shared" si="35"/>
        <v>1</v>
      </c>
      <c r="AA122" s="343">
        <f t="shared" si="35"/>
        <v>1</v>
      </c>
    </row>
    <row r="123" spans="1:27" ht="15.75">
      <c r="A123" s="182">
        <v>15</v>
      </c>
      <c r="B123" s="351" t="s">
        <v>240</v>
      </c>
      <c r="C123" s="207">
        <f t="shared" si="29"/>
        <v>0</v>
      </c>
      <c r="D123" s="207"/>
      <c r="E123" s="207"/>
      <c r="F123" s="207">
        <v>0</v>
      </c>
      <c r="G123" s="207">
        <v>0</v>
      </c>
      <c r="H123" s="207">
        <v>0</v>
      </c>
      <c r="I123" s="207">
        <f t="shared" si="30"/>
        <v>17226.386445</v>
      </c>
      <c r="J123" s="207">
        <f>'[2]58.ND 31. Chi theo dia ban '!J29</f>
        <v>5004.69615</v>
      </c>
      <c r="K123" s="207">
        <f>'[2]58.ND 31. Chi theo dia ban '!K29</f>
        <v>11081.690295</v>
      </c>
      <c r="L123" s="207">
        <f t="shared" si="31"/>
        <v>1140</v>
      </c>
      <c r="M123" s="207">
        <f>'[2]58.ND 31. Chi theo dia ban '!M29</f>
        <v>660</v>
      </c>
      <c r="N123" s="207">
        <f>'[2]58.ND 31. Chi theo dia ban '!N29</f>
        <v>480</v>
      </c>
      <c r="O123" s="207">
        <f t="shared" si="26"/>
        <v>17226.386445</v>
      </c>
      <c r="P123" s="207">
        <f>'[2]58.ND 31. Chi theo dia ban '!P29</f>
        <v>4713.69615</v>
      </c>
      <c r="Q123" s="207">
        <f>'[2]58.ND 31. Chi theo dia ban '!S29</f>
        <v>9874.820295</v>
      </c>
      <c r="R123" s="207">
        <f t="shared" si="32"/>
        <v>1140</v>
      </c>
      <c r="S123" s="207">
        <f>'[2]58.ND 31. Chi theo dia ban '!W29</f>
        <v>660</v>
      </c>
      <c r="T123" s="207">
        <f>'[2]58.ND 31. Chi theo dia ban '!X29</f>
        <v>480</v>
      </c>
      <c r="U123" s="207">
        <f>'[2]58.ND 31. Chi theo dia ban '!Y29</f>
        <v>1497.87</v>
      </c>
      <c r="V123" s="207">
        <f t="shared" si="33"/>
        <v>1</v>
      </c>
      <c r="W123" s="207">
        <f t="shared" si="25"/>
        <v>0.9418546118928719</v>
      </c>
      <c r="X123" s="207">
        <f t="shared" si="27"/>
        <v>0.8910933289171117</v>
      </c>
      <c r="Y123" s="207">
        <f>+R123/L123</f>
        <v>1</v>
      </c>
      <c r="Z123" s="181">
        <f t="shared" si="35"/>
        <v>1</v>
      </c>
      <c r="AA123" s="343">
        <f t="shared" si="35"/>
        <v>1</v>
      </c>
    </row>
    <row r="124" spans="1:27" ht="15.75">
      <c r="A124" s="182">
        <v>16</v>
      </c>
      <c r="B124" s="351" t="s">
        <v>241</v>
      </c>
      <c r="C124" s="207">
        <f t="shared" si="29"/>
        <v>0</v>
      </c>
      <c r="D124" s="207"/>
      <c r="E124" s="207"/>
      <c r="F124" s="207">
        <v>0</v>
      </c>
      <c r="G124" s="207">
        <v>0</v>
      </c>
      <c r="H124" s="207">
        <v>0</v>
      </c>
      <c r="I124" s="207">
        <f t="shared" si="30"/>
        <v>26979.904381</v>
      </c>
      <c r="J124" s="207">
        <f>'[2]58.ND 31. Chi theo dia ban '!J30</f>
        <v>12736.252831000002</v>
      </c>
      <c r="K124" s="207">
        <f>'[2]58.ND 31. Chi theo dia ban '!K30</f>
        <v>14243.65155</v>
      </c>
      <c r="L124" s="207">
        <f t="shared" si="31"/>
        <v>0</v>
      </c>
      <c r="M124" s="207">
        <f>'[2]58.ND 31. Chi theo dia ban '!M30</f>
        <v>0</v>
      </c>
      <c r="N124" s="207">
        <f>'[2]58.ND 31. Chi theo dia ban '!N30</f>
        <v>0</v>
      </c>
      <c r="O124" s="207">
        <f t="shared" si="26"/>
        <v>26979.904381</v>
      </c>
      <c r="P124" s="207">
        <f>'[2]58.ND 31. Chi theo dia ban '!P30</f>
        <v>7002.952793</v>
      </c>
      <c r="Q124" s="207">
        <f>'[2]58.ND 31. Chi theo dia ban '!S30</f>
        <v>14194.743014</v>
      </c>
      <c r="R124" s="207">
        <f t="shared" si="32"/>
        <v>0</v>
      </c>
      <c r="S124" s="207">
        <f>'[2]58.ND 31. Chi theo dia ban '!W30</f>
        <v>0</v>
      </c>
      <c r="T124" s="207">
        <f>'[2]58.ND 31. Chi theo dia ban '!X30</f>
        <v>0</v>
      </c>
      <c r="U124" s="207">
        <f>'[2]58.ND 31. Chi theo dia ban '!Y30</f>
        <v>5782.208574</v>
      </c>
      <c r="V124" s="207">
        <f t="shared" si="33"/>
        <v>1</v>
      </c>
      <c r="W124" s="207">
        <f t="shared" si="25"/>
        <v>0.549844046433723</v>
      </c>
      <c r="X124" s="207">
        <f t="shared" si="27"/>
        <v>0.9965662923002353</v>
      </c>
      <c r="Y124" s="207"/>
      <c r="Z124" s="181"/>
      <c r="AA124" s="343"/>
    </row>
    <row r="125" spans="1:27" ht="15.75">
      <c r="A125" s="182">
        <v>17</v>
      </c>
      <c r="B125" s="351" t="s">
        <v>242</v>
      </c>
      <c r="C125" s="207">
        <f t="shared" si="29"/>
        <v>0</v>
      </c>
      <c r="D125" s="207"/>
      <c r="E125" s="207"/>
      <c r="F125" s="207">
        <v>0</v>
      </c>
      <c r="G125" s="207">
        <v>0</v>
      </c>
      <c r="H125" s="207">
        <v>0</v>
      </c>
      <c r="I125" s="207">
        <f t="shared" si="30"/>
        <v>18422.242789</v>
      </c>
      <c r="J125" s="207">
        <f>'[2]58.ND 31. Chi theo dia ban '!J31</f>
        <v>8198.779</v>
      </c>
      <c r="K125" s="207">
        <f>'[2]58.ND 31. Chi theo dia ban '!K31</f>
        <v>9083.463789</v>
      </c>
      <c r="L125" s="207">
        <f t="shared" si="31"/>
        <v>1140</v>
      </c>
      <c r="M125" s="207">
        <f>'[2]58.ND 31. Chi theo dia ban '!M31</f>
        <v>660</v>
      </c>
      <c r="N125" s="207">
        <f>'[2]58.ND 31. Chi theo dia ban '!N31</f>
        <v>480</v>
      </c>
      <c r="O125" s="207">
        <f t="shared" si="26"/>
        <v>18422.242789</v>
      </c>
      <c r="P125" s="207">
        <f>'[2]58.ND 31. Chi theo dia ban '!P31</f>
        <v>8198.779</v>
      </c>
      <c r="Q125" s="207">
        <f>'[2]58.ND 31. Chi theo dia ban '!S31</f>
        <v>8311.764389</v>
      </c>
      <c r="R125" s="207">
        <f t="shared" si="32"/>
        <v>1140</v>
      </c>
      <c r="S125" s="207">
        <f>'[2]58.ND 31. Chi theo dia ban '!W31</f>
        <v>660</v>
      </c>
      <c r="T125" s="207">
        <f>'[2]58.ND 31. Chi theo dia ban '!X31</f>
        <v>480</v>
      </c>
      <c r="U125" s="207">
        <f>'[2]58.ND 31. Chi theo dia ban '!Y31</f>
        <v>771.6994</v>
      </c>
      <c r="V125" s="207">
        <f t="shared" si="33"/>
        <v>1</v>
      </c>
      <c r="W125" s="207">
        <f t="shared" si="25"/>
        <v>1</v>
      </c>
      <c r="X125" s="207">
        <f>+Q125/K125</f>
        <v>0.9150434880431272</v>
      </c>
      <c r="Y125" s="207">
        <f>+R125/L125</f>
        <v>1</v>
      </c>
      <c r="Z125" s="181">
        <f>+S125/(M125+G125)</f>
        <v>1</v>
      </c>
      <c r="AA125" s="343">
        <f>+T125/(N125+H125)</f>
        <v>1</v>
      </c>
    </row>
    <row r="126" spans="1:27" ht="15.75">
      <c r="A126" s="182">
        <v>18</v>
      </c>
      <c r="B126" s="351" t="s">
        <v>243</v>
      </c>
      <c r="C126" s="207">
        <f t="shared" si="29"/>
        <v>0</v>
      </c>
      <c r="D126" s="207"/>
      <c r="E126" s="207"/>
      <c r="F126" s="207">
        <v>0</v>
      </c>
      <c r="G126" s="207">
        <v>0</v>
      </c>
      <c r="H126" s="207">
        <v>0</v>
      </c>
      <c r="I126" s="207">
        <f t="shared" si="30"/>
        <v>20444.287997</v>
      </c>
      <c r="J126" s="207">
        <f>'[2]58.ND 31. Chi theo dia ban '!J32</f>
        <v>6071.140310999999</v>
      </c>
      <c r="K126" s="207">
        <f>'[2]58.ND 31. Chi theo dia ban '!K32</f>
        <v>13603.147686</v>
      </c>
      <c r="L126" s="207">
        <f t="shared" si="31"/>
        <v>770</v>
      </c>
      <c r="M126" s="207">
        <f>'[2]58.ND 31. Chi theo dia ban '!M32</f>
        <v>660</v>
      </c>
      <c r="N126" s="207">
        <f>'[2]58.ND 31. Chi theo dia ban '!N32</f>
        <v>110</v>
      </c>
      <c r="O126" s="207">
        <f t="shared" si="26"/>
        <v>20444.287997</v>
      </c>
      <c r="P126" s="207">
        <f>'[2]58.ND 31. Chi theo dia ban '!P32</f>
        <v>4715.474571</v>
      </c>
      <c r="Q126" s="207">
        <f>'[2]58.ND 31. Chi theo dia ban '!S32</f>
        <v>12136.916686</v>
      </c>
      <c r="R126" s="207">
        <f t="shared" si="32"/>
        <v>770</v>
      </c>
      <c r="S126" s="207">
        <f>'[2]58.ND 31. Chi theo dia ban '!W32</f>
        <v>660</v>
      </c>
      <c r="T126" s="207">
        <f>'[2]58.ND 31. Chi theo dia ban '!X32</f>
        <v>110</v>
      </c>
      <c r="U126" s="207">
        <f>'[2]58.ND 31. Chi theo dia ban '!Y32</f>
        <v>2821.89674</v>
      </c>
      <c r="V126" s="207">
        <f t="shared" si="33"/>
        <v>1</v>
      </c>
      <c r="W126" s="207">
        <f t="shared" si="25"/>
        <v>0.7767032763937715</v>
      </c>
      <c r="X126" s="207">
        <f>+Q126/K126</f>
        <v>0.8922138438951887</v>
      </c>
      <c r="Y126" s="207">
        <f>+R126/L126</f>
        <v>1</v>
      </c>
      <c r="Z126" s="181">
        <f>+S126/(M126+G126)</f>
        <v>1</v>
      </c>
      <c r="AA126" s="343">
        <f>+T126/(N126+H126)</f>
        <v>1</v>
      </c>
    </row>
    <row r="127" spans="1:27" ht="15.75">
      <c r="A127" s="182">
        <v>19</v>
      </c>
      <c r="B127" s="351" t="s">
        <v>244</v>
      </c>
      <c r="C127" s="207">
        <f t="shared" si="29"/>
        <v>0</v>
      </c>
      <c r="D127" s="207"/>
      <c r="E127" s="207"/>
      <c r="F127" s="207">
        <v>0</v>
      </c>
      <c r="G127" s="207">
        <v>0</v>
      </c>
      <c r="H127" s="207">
        <v>0</v>
      </c>
      <c r="I127" s="207">
        <f t="shared" si="30"/>
        <v>13055.809425</v>
      </c>
      <c r="J127" s="207">
        <f>'[2]58.ND 31. Chi theo dia ban '!J33</f>
        <v>5113.932</v>
      </c>
      <c r="K127" s="207">
        <f>'[2]58.ND 31. Chi theo dia ban '!K33</f>
        <v>7941.877425</v>
      </c>
      <c r="L127" s="207">
        <f t="shared" si="31"/>
        <v>0</v>
      </c>
      <c r="M127" s="207">
        <f>'[2]58.ND 31. Chi theo dia ban '!M33</f>
        <v>0</v>
      </c>
      <c r="N127" s="207">
        <f>'[2]58.ND 31. Chi theo dia ban '!N33</f>
        <v>0</v>
      </c>
      <c r="O127" s="207">
        <f t="shared" si="26"/>
        <v>13055.809425</v>
      </c>
      <c r="P127" s="207">
        <f>'[2]58.ND 31. Chi theo dia ban '!P33</f>
        <v>2325.182</v>
      </c>
      <c r="Q127" s="207">
        <f>'[2]58.ND 31. Chi theo dia ban '!S33</f>
        <v>7830.627425</v>
      </c>
      <c r="R127" s="207">
        <f t="shared" si="32"/>
        <v>0</v>
      </c>
      <c r="S127" s="207">
        <f>'[2]58.ND 31. Chi theo dia ban '!W33</f>
        <v>0</v>
      </c>
      <c r="T127" s="207">
        <f>'[2]58.ND 31. Chi theo dia ban '!X33</f>
        <v>0</v>
      </c>
      <c r="U127" s="207">
        <f>'[2]58.ND 31. Chi theo dia ban '!Y33</f>
        <v>2900</v>
      </c>
      <c r="V127" s="207">
        <f t="shared" si="33"/>
        <v>1</v>
      </c>
      <c r="W127" s="207">
        <f t="shared" si="25"/>
        <v>0.454675971444282</v>
      </c>
      <c r="X127" s="207">
        <f>+Q127/K127</f>
        <v>0.9859919772055661</v>
      </c>
      <c r="Y127" s="207"/>
      <c r="Z127" s="181"/>
      <c r="AA127" s="343"/>
    </row>
    <row r="128" spans="1:27" ht="15.75">
      <c r="A128" s="318">
        <v>20</v>
      </c>
      <c r="B128" s="353" t="s">
        <v>245</v>
      </c>
      <c r="C128" s="209">
        <f t="shared" si="29"/>
        <v>0</v>
      </c>
      <c r="D128" s="209"/>
      <c r="E128" s="209"/>
      <c r="F128" s="209">
        <v>0</v>
      </c>
      <c r="G128" s="209">
        <v>0</v>
      </c>
      <c r="H128" s="209">
        <v>0</v>
      </c>
      <c r="I128" s="209">
        <f t="shared" si="30"/>
        <v>21449.94216</v>
      </c>
      <c r="J128" s="209">
        <f>'[2]58.ND 31. Chi theo dia ban '!J34</f>
        <v>9704.680381</v>
      </c>
      <c r="K128" s="209">
        <f>'[2]58.ND 31. Chi theo dia ban '!K34</f>
        <v>11745.261779</v>
      </c>
      <c r="L128" s="209">
        <f t="shared" si="31"/>
        <v>0</v>
      </c>
      <c r="M128" s="209">
        <f>'[2]58.ND 31. Chi theo dia ban '!M34</f>
        <v>0</v>
      </c>
      <c r="N128" s="209">
        <f>'[2]58.ND 31. Chi theo dia ban '!N34</f>
        <v>0</v>
      </c>
      <c r="O128" s="209">
        <f t="shared" si="26"/>
        <v>21449.94216</v>
      </c>
      <c r="P128" s="209">
        <f>'[2]58.ND 31. Chi theo dia ban '!P34</f>
        <v>7780.295969</v>
      </c>
      <c r="Q128" s="209">
        <f>'[2]58.ND 31. Chi theo dia ban '!S34</f>
        <v>11238.869779</v>
      </c>
      <c r="R128" s="209">
        <f t="shared" si="32"/>
        <v>0</v>
      </c>
      <c r="S128" s="209">
        <f>'[2]58.ND 31. Chi theo dia ban '!W34</f>
        <v>0</v>
      </c>
      <c r="T128" s="209">
        <f>'[2]58.ND 31. Chi theo dia ban '!X34</f>
        <v>0</v>
      </c>
      <c r="U128" s="209">
        <f>'[2]58.ND 31. Chi theo dia ban '!Y34</f>
        <v>2430.776412</v>
      </c>
      <c r="V128" s="209">
        <f t="shared" si="33"/>
        <v>1</v>
      </c>
      <c r="W128" s="209">
        <f t="shared" si="25"/>
        <v>0.8017055341907401</v>
      </c>
      <c r="X128" s="209">
        <f>+Q128/K128</f>
        <v>0.9568854224343125</v>
      </c>
      <c r="Y128" s="209"/>
      <c r="Z128" s="320"/>
      <c r="AA128" s="354"/>
    </row>
    <row r="129" spans="1:27" ht="51.75" customHeight="1">
      <c r="A129" s="222" t="s">
        <v>77</v>
      </c>
      <c r="B129" s="30" t="s">
        <v>436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39"/>
      <c r="W129" s="339"/>
      <c r="X129" s="339"/>
      <c r="Y129" s="339"/>
      <c r="Z129" s="340"/>
      <c r="AA129" s="339"/>
    </row>
    <row r="131" spans="20:27" ht="14.25" customHeight="1">
      <c r="T131" s="407"/>
      <c r="U131" s="407"/>
      <c r="V131" s="407"/>
      <c r="W131" s="407"/>
      <c r="X131" s="407"/>
      <c r="Y131" s="407"/>
      <c r="Z131" s="407"/>
      <c r="AA131" s="407"/>
    </row>
  </sheetData>
  <sheetProtection/>
  <mergeCells count="31">
    <mergeCell ref="T131:AA131"/>
    <mergeCell ref="O8:O9"/>
    <mergeCell ref="P8:P9"/>
    <mergeCell ref="Q8:Q9"/>
    <mergeCell ref="R8:T8"/>
    <mergeCell ref="J8:J9"/>
    <mergeCell ref="A11:B11"/>
    <mergeCell ref="I7:N7"/>
    <mergeCell ref="O7:U7"/>
    <mergeCell ref="V7:AA7"/>
    <mergeCell ref="U8:U9"/>
    <mergeCell ref="V8:V9"/>
    <mergeCell ref="F8:H8"/>
    <mergeCell ref="I8:I9"/>
    <mergeCell ref="A4:Z4"/>
    <mergeCell ref="K8:K9"/>
    <mergeCell ref="L8:N8"/>
    <mergeCell ref="A5:AA5"/>
    <mergeCell ref="W8:W9"/>
    <mergeCell ref="X8:X9"/>
    <mergeCell ref="Y8:AA8"/>
    <mergeCell ref="A1:B1"/>
    <mergeCell ref="W1:AA1"/>
    <mergeCell ref="A2:B2"/>
    <mergeCell ref="W2:AA3"/>
    <mergeCell ref="A7:A9"/>
    <mergeCell ref="B7:B9"/>
    <mergeCell ref="C7:H7"/>
    <mergeCell ref="C8:C9"/>
    <mergeCell ref="D8:D9"/>
    <mergeCell ref="E8:E9"/>
  </mergeCells>
  <printOptions/>
  <pageMargins left="0.4" right="0.2" top="1.26" bottom="0.71" header="0.3" footer="0.49"/>
  <pageSetup horizontalDpi="600" verticalDpi="600" orientation="landscape" paperSize="9" scale="50" r:id="rId2"/>
  <headerFooter>
    <oddFooter>&amp;C&amp;14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I1">
      <selection activeCell="A5" sqref="A5:AA5"/>
    </sheetView>
  </sheetViews>
  <sheetFormatPr defaultColWidth="9.140625" defaultRowHeight="15"/>
  <cols>
    <col min="1" max="1" width="6.28125" style="79" customWidth="1"/>
    <col min="2" max="2" width="17.8515625" style="77" customWidth="1"/>
    <col min="3" max="3" width="14.28125" style="78" customWidth="1"/>
    <col min="4" max="4" width="11.00390625" style="78" customWidth="1"/>
    <col min="5" max="5" width="15.421875" style="78" customWidth="1"/>
    <col min="6" max="6" width="7.8515625" style="78" hidden="1" customWidth="1"/>
    <col min="7" max="7" width="14.57421875" style="78" customWidth="1"/>
    <col min="8" max="8" width="12.7109375" style="78" customWidth="1"/>
    <col min="9" max="9" width="12.421875" style="78" customWidth="1"/>
    <col min="10" max="10" width="12.140625" style="78" customWidth="1"/>
    <col min="11" max="11" width="14.00390625" style="77" customWidth="1"/>
    <col min="12" max="12" width="11.7109375" style="77" customWidth="1"/>
    <col min="13" max="13" width="14.00390625" style="77" customWidth="1"/>
    <col min="14" max="14" width="8.140625" style="77" hidden="1" customWidth="1"/>
    <col min="15" max="15" width="15.00390625" style="78" customWidth="1"/>
    <col min="16" max="17" width="12.421875" style="78" customWidth="1"/>
    <col min="18" max="18" width="11.8515625" style="78" customWidth="1"/>
    <col min="19" max="19" width="8.57421875" style="77" customWidth="1"/>
    <col min="20" max="20" width="9.00390625" style="77" customWidth="1"/>
    <col min="21" max="21" width="9.28125" style="77" bestFit="1" customWidth="1"/>
    <col min="22" max="22" width="0" style="77" hidden="1" customWidth="1"/>
    <col min="23" max="26" width="9.28125" style="77" bestFit="1" customWidth="1"/>
    <col min="27" max="27" width="12.7109375" style="77" bestFit="1" customWidth="1"/>
    <col min="28" max="28" width="9.28125" style="77" bestFit="1" customWidth="1"/>
    <col min="29" max="29" width="12.7109375" style="77" bestFit="1" customWidth="1"/>
    <col min="30" max="16384" width="9.140625" style="77" customWidth="1"/>
  </cols>
  <sheetData>
    <row r="1" spans="1:25" ht="18.75">
      <c r="A1" s="408" t="s">
        <v>220</v>
      </c>
      <c r="B1" s="408"/>
      <c r="C1" s="408"/>
      <c r="U1" s="395" t="s">
        <v>437</v>
      </c>
      <c r="V1" s="395"/>
      <c r="W1" s="395"/>
      <c r="X1" s="395"/>
      <c r="Y1" s="395"/>
    </row>
    <row r="2" spans="1:24" ht="15" customHeight="1">
      <c r="A2" s="408" t="s">
        <v>227</v>
      </c>
      <c r="B2" s="408"/>
      <c r="C2" s="408"/>
      <c r="U2" s="409"/>
      <c r="V2" s="409"/>
      <c r="W2" s="409"/>
      <c r="X2" s="409"/>
    </row>
    <row r="3" spans="21:24" ht="36.75" customHeight="1">
      <c r="U3" s="409"/>
      <c r="V3" s="409"/>
      <c r="W3" s="409"/>
      <c r="X3" s="409"/>
    </row>
    <row r="4" spans="1:26" ht="31.5" customHeight="1">
      <c r="A4" s="410" t="s">
        <v>296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7" ht="24" customHeight="1">
      <c r="A5" s="388" t="s">
        <v>301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</row>
    <row r="6" spans="17:26" ht="15.75">
      <c r="Q6" s="80"/>
      <c r="Z6" s="52" t="s">
        <v>145</v>
      </c>
    </row>
    <row r="7" spans="1:26" ht="15.75" customHeight="1">
      <c r="A7" s="411" t="s">
        <v>7</v>
      </c>
      <c r="B7" s="411" t="s">
        <v>280</v>
      </c>
      <c r="C7" s="412" t="s">
        <v>148</v>
      </c>
      <c r="D7" s="412"/>
      <c r="E7" s="412"/>
      <c r="F7" s="412"/>
      <c r="G7" s="412"/>
      <c r="H7" s="412"/>
      <c r="I7" s="412"/>
      <c r="J7" s="412"/>
      <c r="K7" s="411" t="s">
        <v>149</v>
      </c>
      <c r="L7" s="411"/>
      <c r="M7" s="411"/>
      <c r="N7" s="411"/>
      <c r="O7" s="411"/>
      <c r="P7" s="411"/>
      <c r="Q7" s="411"/>
      <c r="R7" s="411"/>
      <c r="S7" s="411" t="s">
        <v>172</v>
      </c>
      <c r="T7" s="411"/>
      <c r="U7" s="411"/>
      <c r="V7" s="411"/>
      <c r="W7" s="411"/>
      <c r="X7" s="411"/>
      <c r="Y7" s="411"/>
      <c r="Z7" s="411"/>
    </row>
    <row r="8" spans="1:26" ht="21" customHeight="1">
      <c r="A8" s="411"/>
      <c r="B8" s="411"/>
      <c r="C8" s="412" t="s">
        <v>1</v>
      </c>
      <c r="D8" s="412" t="s">
        <v>152</v>
      </c>
      <c r="E8" s="412" t="s">
        <v>91</v>
      </c>
      <c r="F8" s="412"/>
      <c r="G8" s="412"/>
      <c r="H8" s="412"/>
      <c r="I8" s="412"/>
      <c r="J8" s="412"/>
      <c r="K8" s="411" t="s">
        <v>1</v>
      </c>
      <c r="L8" s="411" t="s">
        <v>152</v>
      </c>
      <c r="M8" s="411" t="s">
        <v>91</v>
      </c>
      <c r="N8" s="411"/>
      <c r="O8" s="411"/>
      <c r="P8" s="411"/>
      <c r="Q8" s="411"/>
      <c r="R8" s="411"/>
      <c r="S8" s="411" t="s">
        <v>1</v>
      </c>
      <c r="T8" s="411" t="s">
        <v>152</v>
      </c>
      <c r="U8" s="411" t="s">
        <v>91</v>
      </c>
      <c r="V8" s="411"/>
      <c r="W8" s="411"/>
      <c r="X8" s="411"/>
      <c r="Y8" s="411"/>
      <c r="Z8" s="411"/>
    </row>
    <row r="9" spans="1:26" ht="24.75" customHeight="1">
      <c r="A9" s="411"/>
      <c r="B9" s="411"/>
      <c r="C9" s="412"/>
      <c r="D9" s="412"/>
      <c r="E9" s="412" t="s">
        <v>1</v>
      </c>
      <c r="F9" s="412" t="s">
        <v>173</v>
      </c>
      <c r="G9" s="412"/>
      <c r="H9" s="412" t="s">
        <v>174</v>
      </c>
      <c r="I9" s="412" t="s">
        <v>175</v>
      </c>
      <c r="J9" s="412" t="s">
        <v>176</v>
      </c>
      <c r="K9" s="411"/>
      <c r="L9" s="411"/>
      <c r="M9" s="411" t="s">
        <v>1</v>
      </c>
      <c r="N9" s="411" t="s">
        <v>173</v>
      </c>
      <c r="O9" s="411"/>
      <c r="P9" s="412" t="s">
        <v>174</v>
      </c>
      <c r="Q9" s="412" t="s">
        <v>175</v>
      </c>
      <c r="R9" s="412" t="s">
        <v>176</v>
      </c>
      <c r="S9" s="411"/>
      <c r="T9" s="411"/>
      <c r="U9" s="411" t="s">
        <v>1</v>
      </c>
      <c r="V9" s="411" t="s">
        <v>173</v>
      </c>
      <c r="W9" s="411"/>
      <c r="X9" s="411" t="s">
        <v>174</v>
      </c>
      <c r="Y9" s="411" t="s">
        <v>175</v>
      </c>
      <c r="Z9" s="411" t="s">
        <v>176</v>
      </c>
    </row>
    <row r="10" spans="1:27" ht="88.5" customHeight="1">
      <c r="A10" s="411"/>
      <c r="B10" s="411"/>
      <c r="C10" s="412"/>
      <c r="D10" s="412"/>
      <c r="E10" s="412"/>
      <c r="F10" s="226" t="s">
        <v>177</v>
      </c>
      <c r="G10" s="226" t="s">
        <v>178</v>
      </c>
      <c r="H10" s="412"/>
      <c r="I10" s="412"/>
      <c r="J10" s="412"/>
      <c r="K10" s="411"/>
      <c r="L10" s="411"/>
      <c r="M10" s="411"/>
      <c r="N10" s="225" t="s">
        <v>177</v>
      </c>
      <c r="O10" s="226" t="s">
        <v>178</v>
      </c>
      <c r="P10" s="412"/>
      <c r="Q10" s="412"/>
      <c r="R10" s="412"/>
      <c r="S10" s="411"/>
      <c r="T10" s="411"/>
      <c r="U10" s="411"/>
      <c r="V10" s="225" t="s">
        <v>177</v>
      </c>
      <c r="W10" s="225" t="s">
        <v>178</v>
      </c>
      <c r="X10" s="411"/>
      <c r="Y10" s="411"/>
      <c r="Z10" s="411"/>
      <c r="AA10" s="77" t="s">
        <v>294</v>
      </c>
    </row>
    <row r="11" spans="1:29" s="124" customFormat="1" ht="15.75">
      <c r="A11" s="88" t="s">
        <v>16</v>
      </c>
      <c r="B11" s="88" t="s">
        <v>17</v>
      </c>
      <c r="C11" s="123">
        <v>1</v>
      </c>
      <c r="D11" s="123">
        <v>2</v>
      </c>
      <c r="E11" s="123" t="s">
        <v>179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81">
        <v>9</v>
      </c>
      <c r="L11" s="81">
        <v>10</v>
      </c>
      <c r="M11" s="88" t="s">
        <v>180</v>
      </c>
      <c r="N11" s="88">
        <v>12</v>
      </c>
      <c r="O11" s="123">
        <v>13</v>
      </c>
      <c r="P11" s="123">
        <v>14</v>
      </c>
      <c r="Q11" s="123">
        <v>15</v>
      </c>
      <c r="R11" s="88">
        <v>16</v>
      </c>
      <c r="S11" s="88" t="s">
        <v>181</v>
      </c>
      <c r="T11" s="88" t="s">
        <v>182</v>
      </c>
      <c r="U11" s="88" t="s">
        <v>183</v>
      </c>
      <c r="V11" s="88" t="s">
        <v>184</v>
      </c>
      <c r="W11" s="88" t="s">
        <v>185</v>
      </c>
      <c r="X11" s="88" t="s">
        <v>186</v>
      </c>
      <c r="Y11" s="88" t="s">
        <v>187</v>
      </c>
      <c r="Z11" s="88" t="s">
        <v>188</v>
      </c>
      <c r="AA11" s="124">
        <v>224257.913806</v>
      </c>
      <c r="AB11" s="124">
        <f>12577.2052+19+24.165+0.647+1.068+1.544+3.681+5.44</f>
        <v>12632.750200000002</v>
      </c>
      <c r="AC11" s="215">
        <f>AA11+AB11</f>
        <v>236890.664006</v>
      </c>
    </row>
    <row r="12" spans="1:26" s="82" customFormat="1" ht="15.75">
      <c r="A12" s="225" t="s">
        <v>86</v>
      </c>
      <c r="B12" s="53" t="s">
        <v>223</v>
      </c>
      <c r="C12" s="112">
        <f>D12+E12</f>
        <v>573532.606312</v>
      </c>
      <c r="D12" s="83"/>
      <c r="E12" s="83">
        <f>G12</f>
        <v>573532.606312</v>
      </c>
      <c r="F12" s="83"/>
      <c r="G12" s="83">
        <f>H12+I12+J12</f>
        <v>573532.606312</v>
      </c>
      <c r="H12" s="83">
        <f>120209+59370.076311+98017.688573-671-801+34182.412578-10000-8580-5530</f>
        <v>286197.177462</v>
      </c>
      <c r="I12" s="83">
        <f>185002+77984.33885+671+801-226.5-3500-5475-200-17542-1232.905</f>
        <v>236281.93385</v>
      </c>
      <c r="J12" s="83">
        <f>'[2]54.ND 31. Chi tung don vi'!L12+J13</f>
        <v>51053.494999999995</v>
      </c>
      <c r="K12" s="83">
        <f>L12+M12</f>
        <v>422841.209228</v>
      </c>
      <c r="L12" s="83"/>
      <c r="M12" s="83">
        <f>O12</f>
        <v>422841.209228</v>
      </c>
      <c r="N12" s="83"/>
      <c r="O12" s="83">
        <f>P12+Q12+R12</f>
        <v>422841.209228</v>
      </c>
      <c r="P12" s="83">
        <f>120209+2326+230.278+10030.749+10500+801+3782+34182.412578+8580</f>
        <v>190641.439578</v>
      </c>
      <c r="Q12" s="83">
        <f>I12-AB11-'[2]54.ND 31. Chi tung don vi'!T11-'[2]54.ND 31. Chi tung don vi'!S12</f>
        <v>198262.88465</v>
      </c>
      <c r="R12" s="83">
        <f>'[2]54.ND 31. Chi tung don vi'!R12+R13</f>
        <v>33936.885</v>
      </c>
      <c r="S12" s="62">
        <f aca="true" t="shared" si="0" ref="S12:U13">+K12/C12</f>
        <v>0.7372574890676324</v>
      </c>
      <c r="T12" s="62" t="e">
        <f t="shared" si="0"/>
        <v>#DIV/0!</v>
      </c>
      <c r="U12" s="62">
        <f t="shared" si="0"/>
        <v>0.7372574890676324</v>
      </c>
      <c r="V12" s="62"/>
      <c r="W12" s="62">
        <f aca="true" t="shared" si="1" ref="W12:Z13">+O12/G12</f>
        <v>0.7372574890676324</v>
      </c>
      <c r="X12" s="62">
        <f t="shared" si="1"/>
        <v>0.6661192163689753</v>
      </c>
      <c r="Y12" s="62">
        <f t="shared" si="1"/>
        <v>0.839094557165188</v>
      </c>
      <c r="Z12" s="62">
        <f t="shared" si="1"/>
        <v>0.6647318660553995</v>
      </c>
    </row>
    <row r="13" spans="1:27" s="63" customFormat="1" ht="20.25" customHeight="1">
      <c r="A13" s="222" t="s">
        <v>55</v>
      </c>
      <c r="B13" s="65" t="s">
        <v>261</v>
      </c>
      <c r="C13" s="112">
        <f>D13+E13</f>
        <v>524696.081036</v>
      </c>
      <c r="D13" s="223">
        <f aca="true" t="shared" si="2" ref="D13:R13">SUM(D14:D33)</f>
        <v>90126.00000000001</v>
      </c>
      <c r="E13" s="223">
        <f t="shared" si="2"/>
        <v>434570.08103600005</v>
      </c>
      <c r="F13" s="223">
        <f t="shared" si="2"/>
        <v>0</v>
      </c>
      <c r="G13" s="223">
        <f t="shared" si="2"/>
        <v>434570.08103600005</v>
      </c>
      <c r="H13" s="223">
        <f>SUM(H14:H33)</f>
        <v>171089.383659</v>
      </c>
      <c r="I13" s="223">
        <f>SUM(I14:I33)</f>
        <v>230868.70237700004</v>
      </c>
      <c r="J13" s="223">
        <f>SUM(J14:J33)</f>
        <v>32611.995</v>
      </c>
      <c r="K13" s="223">
        <f t="shared" si="2"/>
        <v>455186.790458</v>
      </c>
      <c r="L13" s="223">
        <f t="shared" si="2"/>
        <v>90126.00000000001</v>
      </c>
      <c r="M13" s="223">
        <f t="shared" si="2"/>
        <v>365060.7904579999</v>
      </c>
      <c r="N13" s="223">
        <f t="shared" si="2"/>
        <v>0</v>
      </c>
      <c r="O13" s="223">
        <f t="shared" si="2"/>
        <v>365060.7904579999</v>
      </c>
      <c r="P13" s="223">
        <f t="shared" si="2"/>
        <v>121398.876374</v>
      </c>
      <c r="Q13" s="223">
        <f t="shared" si="2"/>
        <v>211955.66408400005</v>
      </c>
      <c r="R13" s="223">
        <f t="shared" si="2"/>
        <v>31706.25</v>
      </c>
      <c r="S13" s="62">
        <f t="shared" si="0"/>
        <v>0.8675246621991999</v>
      </c>
      <c r="T13" s="62">
        <f t="shared" si="0"/>
        <v>1</v>
      </c>
      <c r="U13" s="62">
        <f t="shared" si="0"/>
        <v>0.8400504461506131</v>
      </c>
      <c r="V13" s="62"/>
      <c r="W13" s="62">
        <f t="shared" si="1"/>
        <v>0.8400504461506131</v>
      </c>
      <c r="X13" s="62">
        <f t="shared" si="1"/>
        <v>0.7095640522965547</v>
      </c>
      <c r="Y13" s="62">
        <f t="shared" si="1"/>
        <v>0.918078812336738</v>
      </c>
      <c r="Z13" s="62">
        <f t="shared" si="1"/>
        <v>0.9722266301095656</v>
      </c>
      <c r="AA13" s="216">
        <f>E12-M12</f>
        <v>150691.39708399994</v>
      </c>
    </row>
    <row r="14" spans="1:26" s="93" customFormat="1" ht="15.75">
      <c r="A14" s="81">
        <v>1</v>
      </c>
      <c r="B14" s="125" t="s">
        <v>228</v>
      </c>
      <c r="C14" s="84">
        <f>D14+E14</f>
        <v>30563.888753</v>
      </c>
      <c r="D14" s="173">
        <v>3619.813</v>
      </c>
      <c r="E14" s="86">
        <f>G14</f>
        <v>26944.075752999997</v>
      </c>
      <c r="F14" s="85"/>
      <c r="G14" s="85">
        <f>SUM(H14:J14)</f>
        <v>26944.075752999997</v>
      </c>
      <c r="H14" s="87">
        <f>'[2]54.ND 31. Chi tung don vi'!J109</f>
        <v>9352.291</v>
      </c>
      <c r="I14" s="92">
        <f>'[2]54.ND 31. Chi tung don vi'!K109</f>
        <v>10752.004753000001</v>
      </c>
      <c r="J14" s="87">
        <f>'[2]54.ND 31. Chi tung don vi'!L109</f>
        <v>6839.78</v>
      </c>
      <c r="K14" s="86">
        <f>L14+M14</f>
        <v>30213.888753</v>
      </c>
      <c r="L14" s="173">
        <v>3619.813</v>
      </c>
      <c r="M14" s="89">
        <f>O14</f>
        <v>26594.075752999997</v>
      </c>
      <c r="N14" s="88"/>
      <c r="O14" s="89">
        <f>P14+Q14+R14</f>
        <v>26594.075752999997</v>
      </c>
      <c r="P14" s="87">
        <f>'[2]54.ND 31. Chi tung don vi'!P109</f>
        <v>9302.291</v>
      </c>
      <c r="Q14" s="90">
        <f>'[2]54.ND 31. Chi tung don vi'!Q109</f>
        <v>10452.004753000001</v>
      </c>
      <c r="R14" s="86">
        <f>'[2]54.ND 31. Chi tung don vi'!R109</f>
        <v>6839.78</v>
      </c>
      <c r="S14" s="91">
        <v>0.9886705895909651</v>
      </c>
      <c r="T14" s="91">
        <v>1</v>
      </c>
      <c r="U14" s="91">
        <v>0.9848630011981465</v>
      </c>
      <c r="V14" s="88"/>
      <c r="W14" s="91">
        <v>0.9848630011981465</v>
      </c>
      <c r="X14" s="91">
        <v>1</v>
      </c>
      <c r="Y14" s="91">
        <v>0.979334226021593</v>
      </c>
      <c r="Z14" s="91">
        <v>1</v>
      </c>
    </row>
    <row r="15" spans="1:26" s="93" customFormat="1" ht="15.75">
      <c r="A15" s="81">
        <v>2</v>
      </c>
      <c r="B15" s="125" t="s">
        <v>224</v>
      </c>
      <c r="C15" s="84">
        <f aca="true" t="shared" si="3" ref="C15:C33">D15+E15</f>
        <v>34571.65797</v>
      </c>
      <c r="D15" s="173">
        <v>4879.434</v>
      </c>
      <c r="E15" s="86">
        <f aca="true" t="shared" si="4" ref="E15:E33">G15</f>
        <v>29692.223970000003</v>
      </c>
      <c r="F15" s="85"/>
      <c r="G15" s="85">
        <f aca="true" t="shared" si="5" ref="G15:G33">SUM(H15:J15)</f>
        <v>29692.223970000003</v>
      </c>
      <c r="H15" s="87">
        <f>'[2]54.ND 31. Chi tung don vi'!J110</f>
        <v>17296.911186</v>
      </c>
      <c r="I15" s="92">
        <f>'[2]54.ND 31. Chi tung don vi'!K110</f>
        <v>10763.082784</v>
      </c>
      <c r="J15" s="87">
        <f>'[2]54.ND 31. Chi tung don vi'!L110</f>
        <v>1632.23</v>
      </c>
      <c r="K15" s="86">
        <f aca="true" t="shared" si="6" ref="K15:K33">L15+M15</f>
        <v>27696.27097</v>
      </c>
      <c r="L15" s="173">
        <v>4879.434</v>
      </c>
      <c r="M15" s="89">
        <f aca="true" t="shared" si="7" ref="M15:M33">O15</f>
        <v>22816.83697</v>
      </c>
      <c r="N15" s="88"/>
      <c r="O15" s="89">
        <f aca="true" t="shared" si="8" ref="O15:O33">P15+Q15+R15</f>
        <v>22816.83697</v>
      </c>
      <c r="P15" s="87">
        <f>'[2]54.ND 31. Chi tung don vi'!P110</f>
        <v>10852.462186</v>
      </c>
      <c r="Q15" s="90">
        <f>'[2]54.ND 31. Chi tung don vi'!Q110</f>
        <v>11194.374784</v>
      </c>
      <c r="R15" s="86">
        <f>'[2]54.ND 31. Chi tung don vi'!R110</f>
        <v>770</v>
      </c>
      <c r="S15" s="91">
        <v>0.9655845128701492</v>
      </c>
      <c r="T15" s="91">
        <v>1</v>
      </c>
      <c r="U15" s="91">
        <v>0.9556413849259824</v>
      </c>
      <c r="V15" s="88"/>
      <c r="W15" s="91">
        <v>0.9556413849259824</v>
      </c>
      <c r="X15" s="91">
        <v>1</v>
      </c>
      <c r="Y15" s="91">
        <v>0.9281777384752529</v>
      </c>
      <c r="Z15" s="91">
        <v>1</v>
      </c>
    </row>
    <row r="16" spans="1:26" s="93" customFormat="1" ht="15.75">
      <c r="A16" s="81">
        <v>3</v>
      </c>
      <c r="B16" s="125" t="s">
        <v>229</v>
      </c>
      <c r="C16" s="84">
        <f t="shared" si="3"/>
        <v>25725.564332</v>
      </c>
      <c r="D16" s="173">
        <v>5293.158</v>
      </c>
      <c r="E16" s="86">
        <f t="shared" si="4"/>
        <v>20432.406332000002</v>
      </c>
      <c r="F16" s="85"/>
      <c r="G16" s="85">
        <f t="shared" si="5"/>
        <v>20432.406332000002</v>
      </c>
      <c r="H16" s="87">
        <f>'[2]54.ND 31. Chi tung don vi'!J111</f>
        <v>8325.9084</v>
      </c>
      <c r="I16" s="92">
        <f>'[2]54.ND 31. Chi tung don vi'!K111</f>
        <v>11176.544932</v>
      </c>
      <c r="J16" s="87">
        <f>'[2]54.ND 31. Chi tung don vi'!L111</f>
        <v>929.953</v>
      </c>
      <c r="K16" s="86">
        <f t="shared" si="6"/>
        <v>23637.434932</v>
      </c>
      <c r="L16" s="173">
        <v>5293.158</v>
      </c>
      <c r="M16" s="89">
        <f t="shared" si="7"/>
        <v>18344.276932</v>
      </c>
      <c r="N16" s="88"/>
      <c r="O16" s="89">
        <f t="shared" si="8"/>
        <v>18344.276932</v>
      </c>
      <c r="P16" s="87">
        <f>'[2]54.ND 31. Chi tung don vi'!P111</f>
        <v>6426.779</v>
      </c>
      <c r="Q16" s="90">
        <f>'[2]54.ND 31. Chi tung don vi'!Q111</f>
        <v>10987.544932</v>
      </c>
      <c r="R16" s="86">
        <f>'[2]54.ND 31. Chi tung don vi'!R111</f>
        <v>929.953</v>
      </c>
      <c r="S16" s="91">
        <v>0.9572914161582773</v>
      </c>
      <c r="T16" s="91">
        <v>1</v>
      </c>
      <c r="U16" s="91">
        <v>0.9405282684786379</v>
      </c>
      <c r="V16" s="88"/>
      <c r="W16" s="91">
        <v>0.9405282684786379</v>
      </c>
      <c r="X16" s="91">
        <v>0.8696013885039978</v>
      </c>
      <c r="Y16" s="91">
        <v>0.9734536661150193</v>
      </c>
      <c r="Z16" s="91">
        <v>1</v>
      </c>
    </row>
    <row r="17" spans="1:26" s="93" customFormat="1" ht="15.75">
      <c r="A17" s="81">
        <v>4</v>
      </c>
      <c r="B17" s="125" t="s">
        <v>230</v>
      </c>
      <c r="C17" s="84">
        <f t="shared" si="3"/>
        <v>22736.741694999997</v>
      </c>
      <c r="D17" s="173">
        <v>4984.816</v>
      </c>
      <c r="E17" s="86">
        <f t="shared" si="4"/>
        <v>17751.925694999998</v>
      </c>
      <c r="F17" s="85"/>
      <c r="G17" s="85">
        <f t="shared" si="5"/>
        <v>17751.925694999998</v>
      </c>
      <c r="H17" s="87">
        <f>'[2]54.ND 31. Chi tung don vi'!J112</f>
        <v>8532.444614</v>
      </c>
      <c r="I17" s="92">
        <f>'[2]54.ND 31. Chi tung don vi'!K112</f>
        <v>9219.481081</v>
      </c>
      <c r="J17" s="87">
        <f>'[2]54.ND 31. Chi tung don vi'!L112</f>
        <v>0</v>
      </c>
      <c r="K17" s="86">
        <f t="shared" si="6"/>
        <v>16622.006681</v>
      </c>
      <c r="L17" s="173">
        <v>4984.816</v>
      </c>
      <c r="M17" s="89">
        <f t="shared" si="7"/>
        <v>11637.190681</v>
      </c>
      <c r="N17" s="88"/>
      <c r="O17" s="89">
        <f t="shared" si="8"/>
        <v>11637.190681</v>
      </c>
      <c r="P17" s="87">
        <f>'[2]54.ND 31. Chi tung don vi'!P112</f>
        <v>3467.7096</v>
      </c>
      <c r="Q17" s="90">
        <f>'[2]54.ND 31. Chi tung don vi'!Q112</f>
        <v>8169.481081</v>
      </c>
      <c r="R17" s="86">
        <f>'[2]54.ND 31. Chi tung don vi'!R112</f>
        <v>0</v>
      </c>
      <c r="S17" s="91">
        <v>0.8451605368103647</v>
      </c>
      <c r="T17" s="91">
        <v>1</v>
      </c>
      <c r="U17" s="91">
        <v>0.7839580540653375</v>
      </c>
      <c r="V17" s="88"/>
      <c r="W17" s="91">
        <v>0.7839580540653375</v>
      </c>
      <c r="X17" s="91">
        <v>0.6885181728988949</v>
      </c>
      <c r="Y17" s="91">
        <v>0.8584909816764738</v>
      </c>
      <c r="Z17" s="91">
        <v>1</v>
      </c>
    </row>
    <row r="18" spans="1:26" s="93" customFormat="1" ht="15.75">
      <c r="A18" s="81">
        <v>5</v>
      </c>
      <c r="B18" s="125" t="s">
        <v>226</v>
      </c>
      <c r="C18" s="84">
        <f t="shared" si="3"/>
        <v>26021.385799000003</v>
      </c>
      <c r="D18" s="173">
        <v>4646.972</v>
      </c>
      <c r="E18" s="86">
        <f t="shared" si="4"/>
        <v>21374.413799</v>
      </c>
      <c r="F18" s="85"/>
      <c r="G18" s="85">
        <f t="shared" si="5"/>
        <v>21374.413799</v>
      </c>
      <c r="H18" s="87">
        <f>'[2]54.ND 31. Chi tung don vi'!J113</f>
        <v>5382.6628</v>
      </c>
      <c r="I18" s="92">
        <f>'[2]54.ND 31. Chi tung don vi'!K113</f>
        <v>13675.325999000002</v>
      </c>
      <c r="J18" s="87">
        <f>'[2]54.ND 31. Chi tung don vi'!L113</f>
        <v>2316.425</v>
      </c>
      <c r="K18" s="86">
        <f t="shared" si="6"/>
        <v>21664.960799</v>
      </c>
      <c r="L18" s="173">
        <v>4646.972</v>
      </c>
      <c r="M18" s="89">
        <f t="shared" si="7"/>
        <v>17017.988799</v>
      </c>
      <c r="N18" s="88"/>
      <c r="O18" s="89">
        <f t="shared" si="8"/>
        <v>17017.988799</v>
      </c>
      <c r="P18" s="87">
        <f>'[2]54.ND 31. Chi tung don vi'!P113</f>
        <v>3631.3008</v>
      </c>
      <c r="Q18" s="90">
        <f>'[2]54.ND 31. Chi tung don vi'!Q113</f>
        <v>11070.262999</v>
      </c>
      <c r="R18" s="86">
        <f>'[2]54.ND 31. Chi tung don vi'!R113</f>
        <v>2316.425</v>
      </c>
      <c r="S18" s="91">
        <v>0.9930600919415807</v>
      </c>
      <c r="T18" s="91">
        <v>1</v>
      </c>
      <c r="U18" s="91">
        <v>0.9907098268815112</v>
      </c>
      <c r="V18" s="88"/>
      <c r="W18" s="91">
        <v>0.9907098268815112</v>
      </c>
      <c r="X18" s="91">
        <v>1</v>
      </c>
      <c r="Y18" s="91">
        <v>0.9873461230668098</v>
      </c>
      <c r="Z18" s="91">
        <v>1</v>
      </c>
    </row>
    <row r="19" spans="1:26" s="93" customFormat="1" ht="15.75">
      <c r="A19" s="81">
        <v>6</v>
      </c>
      <c r="B19" s="125" t="s">
        <v>231</v>
      </c>
      <c r="C19" s="84">
        <f t="shared" si="3"/>
        <v>42404.853574</v>
      </c>
      <c r="D19" s="173">
        <v>5019.938</v>
      </c>
      <c r="E19" s="86">
        <f t="shared" si="4"/>
        <v>37384.915574</v>
      </c>
      <c r="F19" s="85"/>
      <c r="G19" s="85">
        <f t="shared" si="5"/>
        <v>37384.915574</v>
      </c>
      <c r="H19" s="87">
        <f>'[2]54.ND 31. Chi tung don vi'!J114</f>
        <v>17779.475867</v>
      </c>
      <c r="I19" s="92">
        <f>'[2]54.ND 31. Chi tung don vi'!K114</f>
        <v>15795.849707000001</v>
      </c>
      <c r="J19" s="87">
        <f>'[2]54.ND 31. Chi tung don vi'!L114</f>
        <v>3809.59</v>
      </c>
      <c r="K19" s="86">
        <f t="shared" si="6"/>
        <v>30866.244316999997</v>
      </c>
      <c r="L19" s="173">
        <v>5019.938</v>
      </c>
      <c r="M19" s="89">
        <f t="shared" si="7"/>
        <v>25846.306317</v>
      </c>
      <c r="N19" s="88"/>
      <c r="O19" s="89">
        <f t="shared" si="8"/>
        <v>25846.306317</v>
      </c>
      <c r="P19" s="87">
        <f>'[2]54.ND 31. Chi tung don vi'!P114</f>
        <v>10832.35061</v>
      </c>
      <c r="Q19" s="90">
        <f>'[2]54.ND 31. Chi tung don vi'!Q114</f>
        <v>11204.365707</v>
      </c>
      <c r="R19" s="86">
        <f>'[2]54.ND 31. Chi tung don vi'!R114</f>
        <v>3809.59</v>
      </c>
      <c r="S19" s="91">
        <v>0.7939201952417678</v>
      </c>
      <c r="T19" s="91">
        <v>1</v>
      </c>
      <c r="U19" s="91">
        <v>0.6955032619642343</v>
      </c>
      <c r="V19" s="88"/>
      <c r="W19" s="91">
        <v>0.6955032619642343</v>
      </c>
      <c r="X19" s="91">
        <v>0.5248689749186004</v>
      </c>
      <c r="Y19" s="91">
        <v>0.8494692180965361</v>
      </c>
      <c r="Z19" s="91">
        <v>1</v>
      </c>
    </row>
    <row r="20" spans="1:26" s="93" customFormat="1" ht="15.75">
      <c r="A20" s="81">
        <v>7</v>
      </c>
      <c r="B20" s="125" t="s">
        <v>232</v>
      </c>
      <c r="C20" s="84">
        <f t="shared" si="3"/>
        <v>24020.103284</v>
      </c>
      <c r="D20" s="173">
        <v>5158.434</v>
      </c>
      <c r="E20" s="86">
        <f t="shared" si="4"/>
        <v>18861.669284</v>
      </c>
      <c r="F20" s="85"/>
      <c r="G20" s="85">
        <f t="shared" si="5"/>
        <v>18861.669284</v>
      </c>
      <c r="H20" s="87">
        <f>'[2]54.ND 31. Chi tung don vi'!J115</f>
        <v>10160.749</v>
      </c>
      <c r="I20" s="92">
        <f>'[2]54.ND 31. Chi tung don vi'!K115</f>
        <v>6715.4902839999995</v>
      </c>
      <c r="J20" s="87">
        <f>'[2]54.ND 31. Chi tung don vi'!L115</f>
        <v>1985.43</v>
      </c>
      <c r="K20" s="86">
        <f t="shared" si="6"/>
        <v>20783.518284</v>
      </c>
      <c r="L20" s="173">
        <v>5158.434</v>
      </c>
      <c r="M20" s="89">
        <f t="shared" si="7"/>
        <v>15625.084284</v>
      </c>
      <c r="N20" s="88"/>
      <c r="O20" s="89">
        <f t="shared" si="8"/>
        <v>15625.084284</v>
      </c>
      <c r="P20" s="87">
        <f>'[2]54.ND 31. Chi tung don vi'!P115</f>
        <v>6924.164</v>
      </c>
      <c r="Q20" s="90">
        <f>'[2]54.ND 31. Chi tung don vi'!Q115</f>
        <v>6715.4902839999995</v>
      </c>
      <c r="R20" s="86">
        <f>'[2]54.ND 31. Chi tung don vi'!R115</f>
        <v>1985.43</v>
      </c>
      <c r="S20" s="91">
        <v>0.9957822813119779</v>
      </c>
      <c r="T20" s="91">
        <v>1</v>
      </c>
      <c r="U20" s="91">
        <v>0.9924498206983642</v>
      </c>
      <c r="V20" s="88"/>
      <c r="W20" s="91">
        <v>0.9924498206983642</v>
      </c>
      <c r="X20" s="91">
        <v>0.975809485765183</v>
      </c>
      <c r="Y20" s="91">
        <v>1</v>
      </c>
      <c r="Z20" s="91">
        <v>1</v>
      </c>
    </row>
    <row r="21" spans="1:26" s="93" customFormat="1" ht="15.75">
      <c r="A21" s="81">
        <v>8</v>
      </c>
      <c r="B21" s="125" t="s">
        <v>233</v>
      </c>
      <c r="C21" s="84">
        <f t="shared" si="3"/>
        <v>18380.702838999998</v>
      </c>
      <c r="D21" s="173">
        <v>4420.391</v>
      </c>
      <c r="E21" s="86">
        <f t="shared" si="4"/>
        <v>13960.311838999998</v>
      </c>
      <c r="F21" s="85"/>
      <c r="G21" s="85">
        <f t="shared" si="5"/>
        <v>13960.311838999998</v>
      </c>
      <c r="H21" s="87">
        <f>'[2]54.ND 31. Chi tung don vi'!J116</f>
        <v>2453.656207</v>
      </c>
      <c r="I21" s="92">
        <f>'[2]54.ND 31. Chi tung don vi'!K116</f>
        <v>8831.660632</v>
      </c>
      <c r="J21" s="87">
        <f>'[2]54.ND 31. Chi tung don vi'!L116</f>
        <v>2674.995</v>
      </c>
      <c r="K21" s="86">
        <f t="shared" si="6"/>
        <v>16076.155725</v>
      </c>
      <c r="L21" s="173">
        <v>4420.391</v>
      </c>
      <c r="M21" s="89">
        <f t="shared" si="7"/>
        <v>11655.764725</v>
      </c>
      <c r="N21" s="88"/>
      <c r="O21" s="89">
        <f t="shared" si="8"/>
        <v>11655.764725</v>
      </c>
      <c r="P21" s="87">
        <f>'[2]54.ND 31. Chi tung don vi'!P116</f>
        <v>1510.2841500000002</v>
      </c>
      <c r="Q21" s="90">
        <f>'[2]54.ND 31. Chi tung don vi'!Q116</f>
        <v>7499.899575</v>
      </c>
      <c r="R21" s="86">
        <f>'[2]54.ND 31. Chi tung don vi'!R116</f>
        <v>2645.581</v>
      </c>
      <c r="S21" s="91">
        <v>0.981155029577698</v>
      </c>
      <c r="T21" s="91">
        <v>1</v>
      </c>
      <c r="U21" s="91">
        <v>0.9698854066141007</v>
      </c>
      <c r="V21" s="88"/>
      <c r="W21" s="91">
        <v>0.9698854066141007</v>
      </c>
      <c r="X21" s="91">
        <v>1</v>
      </c>
      <c r="Y21" s="91">
        <v>0.9501443697410336</v>
      </c>
      <c r="Z21" s="91">
        <v>1</v>
      </c>
    </row>
    <row r="22" spans="1:26" s="93" customFormat="1" ht="15.75">
      <c r="A22" s="81">
        <v>9</v>
      </c>
      <c r="B22" s="125" t="s">
        <v>234</v>
      </c>
      <c r="C22" s="84">
        <f t="shared" si="3"/>
        <v>20772.430699</v>
      </c>
      <c r="D22" s="173">
        <v>4384.127</v>
      </c>
      <c r="E22" s="86">
        <f t="shared" si="4"/>
        <v>16388.303699</v>
      </c>
      <c r="F22" s="85"/>
      <c r="G22" s="85">
        <f t="shared" si="5"/>
        <v>16388.303699</v>
      </c>
      <c r="H22" s="87">
        <f>'[2]54.ND 31. Chi tung don vi'!J117</f>
        <v>5201.393602</v>
      </c>
      <c r="I22" s="92">
        <f>'[2]54.ND 31. Chi tung don vi'!K117</f>
        <v>7921.250097</v>
      </c>
      <c r="J22" s="87">
        <f>'[2]54.ND 31. Chi tung don vi'!L117</f>
        <v>3265.66</v>
      </c>
      <c r="K22" s="86">
        <f t="shared" si="6"/>
        <v>18548.739097</v>
      </c>
      <c r="L22" s="173">
        <v>4384.127</v>
      </c>
      <c r="M22" s="89">
        <f t="shared" si="7"/>
        <v>14164.612097000001</v>
      </c>
      <c r="N22" s="88"/>
      <c r="O22" s="89">
        <f t="shared" si="8"/>
        <v>14164.612097000001</v>
      </c>
      <c r="P22" s="87">
        <f>'[2]54.ND 31. Chi tung don vi'!P117</f>
        <v>3557.0420000000004</v>
      </c>
      <c r="Q22" s="90">
        <f>'[2]54.ND 31. Chi tung don vi'!Q117</f>
        <v>7341.910097</v>
      </c>
      <c r="R22" s="86">
        <f>'[2]54.ND 31. Chi tung don vi'!R117</f>
        <v>3265.66</v>
      </c>
      <c r="S22" s="91">
        <v>0.9753387373641349</v>
      </c>
      <c r="T22" s="91">
        <v>1</v>
      </c>
      <c r="U22" s="91">
        <v>0.9632479910337087</v>
      </c>
      <c r="V22" s="88"/>
      <c r="W22" s="91">
        <v>0.9632479910337087</v>
      </c>
      <c r="X22" s="91">
        <v>1</v>
      </c>
      <c r="Y22" s="91">
        <v>0.9463989548376049</v>
      </c>
      <c r="Z22" s="91">
        <v>1</v>
      </c>
    </row>
    <row r="23" spans="1:26" s="93" customFormat="1" ht="15.75">
      <c r="A23" s="81">
        <v>10</v>
      </c>
      <c r="B23" s="125" t="s">
        <v>235</v>
      </c>
      <c r="C23" s="84">
        <f t="shared" si="3"/>
        <v>41580.6778</v>
      </c>
      <c r="D23" s="173">
        <v>4560.572</v>
      </c>
      <c r="E23" s="86">
        <f t="shared" si="4"/>
        <v>37020.1058</v>
      </c>
      <c r="F23" s="85"/>
      <c r="G23" s="85">
        <f t="shared" si="5"/>
        <v>37020.1058</v>
      </c>
      <c r="H23" s="87">
        <f>'[2]54.ND 31. Chi tung don vi'!J118</f>
        <v>14611.124406</v>
      </c>
      <c r="I23" s="92">
        <f>'[2]54.ND 31. Chi tung don vi'!K118</f>
        <v>22408.981394</v>
      </c>
      <c r="J23" s="87">
        <f>'[2]54.ND 31. Chi tung don vi'!L118</f>
        <v>0</v>
      </c>
      <c r="K23" s="86">
        <f t="shared" si="6"/>
        <v>38599.3568</v>
      </c>
      <c r="L23" s="173">
        <v>4560.572</v>
      </c>
      <c r="M23" s="89">
        <f t="shared" si="7"/>
        <v>34038.7848</v>
      </c>
      <c r="N23" s="88"/>
      <c r="O23" s="89">
        <f t="shared" si="8"/>
        <v>34038.7848</v>
      </c>
      <c r="P23" s="87">
        <f>'[2]54.ND 31. Chi tung don vi'!P118</f>
        <v>12129.803406</v>
      </c>
      <c r="Q23" s="90">
        <f>'[2]54.ND 31. Chi tung don vi'!Q118</f>
        <v>21908.981394</v>
      </c>
      <c r="R23" s="86">
        <f>'[2]54.ND 31. Chi tung don vi'!R118</f>
        <v>0</v>
      </c>
      <c r="S23" s="91">
        <v>1</v>
      </c>
      <c r="T23" s="91">
        <v>1</v>
      </c>
      <c r="U23" s="91">
        <v>1</v>
      </c>
      <c r="V23" s="88"/>
      <c r="W23" s="91">
        <v>1</v>
      </c>
      <c r="X23" s="91">
        <v>1</v>
      </c>
      <c r="Y23" s="91">
        <v>1</v>
      </c>
      <c r="Z23" s="91">
        <v>1</v>
      </c>
    </row>
    <row r="24" spans="1:26" s="93" customFormat="1" ht="15.75">
      <c r="A24" s="81">
        <v>11</v>
      </c>
      <c r="B24" s="125" t="s">
        <v>236</v>
      </c>
      <c r="C24" s="84">
        <f t="shared" si="3"/>
        <v>21152.975757000004</v>
      </c>
      <c r="D24" s="173">
        <v>4637.092</v>
      </c>
      <c r="E24" s="86">
        <f t="shared" si="4"/>
        <v>16515.883757000003</v>
      </c>
      <c r="F24" s="85"/>
      <c r="G24" s="85">
        <f t="shared" si="5"/>
        <v>16515.883757000003</v>
      </c>
      <c r="H24" s="87">
        <f>'[2]54.ND 31. Chi tung don vi'!J119</f>
        <v>4293.888897000001</v>
      </c>
      <c r="I24" s="92">
        <f>'[2]54.ND 31. Chi tung don vi'!K119</f>
        <v>11265.03986</v>
      </c>
      <c r="J24" s="87">
        <f>'[2]54.ND 31. Chi tung don vi'!L119</f>
        <v>956.955</v>
      </c>
      <c r="K24" s="86">
        <f t="shared" si="6"/>
        <v>17580.473798</v>
      </c>
      <c r="L24" s="173">
        <v>4637.092</v>
      </c>
      <c r="M24" s="89">
        <f t="shared" si="7"/>
        <v>12943.381798</v>
      </c>
      <c r="N24" s="88"/>
      <c r="O24" s="89">
        <f t="shared" si="8"/>
        <v>12943.381798</v>
      </c>
      <c r="P24" s="87">
        <f>'[2]54.ND 31. Chi tung don vi'!P119</f>
        <v>1722.386938</v>
      </c>
      <c r="Q24" s="90">
        <f>'[2]54.ND 31. Chi tung don vi'!Q119</f>
        <v>10264.03986</v>
      </c>
      <c r="R24" s="86">
        <f>'[2]54.ND 31. Chi tung don vi'!R119</f>
        <v>956.955</v>
      </c>
      <c r="S24" s="91">
        <v>0.9428306876276857</v>
      </c>
      <c r="T24" s="91">
        <v>1</v>
      </c>
      <c r="U24" s="91">
        <v>0.9134317480296349</v>
      </c>
      <c r="V24" s="88"/>
      <c r="W24" s="91">
        <v>0.9134317480296349</v>
      </c>
      <c r="X24" s="91">
        <v>1</v>
      </c>
      <c r="Y24" s="91">
        <v>0.9015488326511694</v>
      </c>
      <c r="Z24" s="91">
        <v>1</v>
      </c>
    </row>
    <row r="25" spans="1:26" s="93" customFormat="1" ht="15.75">
      <c r="A25" s="81">
        <v>12</v>
      </c>
      <c r="B25" s="125" t="s">
        <v>237</v>
      </c>
      <c r="C25" s="84">
        <f t="shared" si="3"/>
        <v>23424.493386999995</v>
      </c>
      <c r="D25" s="173">
        <v>4113.6</v>
      </c>
      <c r="E25" s="86">
        <f t="shared" si="4"/>
        <v>19310.893386999996</v>
      </c>
      <c r="F25" s="85"/>
      <c r="G25" s="85">
        <f t="shared" si="5"/>
        <v>19310.893386999996</v>
      </c>
      <c r="H25" s="87">
        <f>'[2]54.ND 31. Chi tung don vi'!J120</f>
        <v>7715.666218</v>
      </c>
      <c r="I25" s="92">
        <f>'[2]54.ND 31. Chi tung don vi'!K120</f>
        <v>10145.142168999999</v>
      </c>
      <c r="J25" s="87">
        <f>'[2]54.ND 31. Chi tung don vi'!L120</f>
        <v>1450.085</v>
      </c>
      <c r="K25" s="86">
        <f t="shared" si="6"/>
        <v>22138.008128</v>
      </c>
      <c r="L25" s="173">
        <v>4113.6</v>
      </c>
      <c r="M25" s="89">
        <f t="shared" si="7"/>
        <v>18024.408128</v>
      </c>
      <c r="N25" s="88"/>
      <c r="O25" s="89">
        <f t="shared" si="8"/>
        <v>18024.408128</v>
      </c>
      <c r="P25" s="87">
        <f>'[2]54.ND 31. Chi tung don vi'!P120</f>
        <v>6664.996959</v>
      </c>
      <c r="Q25" s="90">
        <f>'[2]54.ND 31. Chi tung don vi'!Q120</f>
        <v>9909.326169</v>
      </c>
      <c r="R25" s="86">
        <f>'[2]54.ND 31. Chi tung don vi'!R120</f>
        <v>1450.085</v>
      </c>
      <c r="S25" s="91">
        <v>0.952915021490135</v>
      </c>
      <c r="T25" s="91">
        <v>1</v>
      </c>
      <c r="U25" s="91">
        <v>0.9356705772041995</v>
      </c>
      <c r="V25" s="88"/>
      <c r="W25" s="91">
        <v>0.9356705772041995</v>
      </c>
      <c r="X25" s="91">
        <v>0.852194261285098</v>
      </c>
      <c r="Y25" s="91">
        <v>0.9785776300333617</v>
      </c>
      <c r="Z25" s="91">
        <v>1</v>
      </c>
    </row>
    <row r="26" spans="1:26" s="93" customFormat="1" ht="15.75">
      <c r="A26" s="81">
        <v>13</v>
      </c>
      <c r="B26" s="125" t="s">
        <v>238</v>
      </c>
      <c r="C26" s="84">
        <f t="shared" si="3"/>
        <v>27078.750864999998</v>
      </c>
      <c r="D26" s="173">
        <v>4703.359</v>
      </c>
      <c r="E26" s="86">
        <f t="shared" si="4"/>
        <v>22375.391864999998</v>
      </c>
      <c r="F26" s="85"/>
      <c r="G26" s="85">
        <f t="shared" si="5"/>
        <v>22375.391864999998</v>
      </c>
      <c r="H26" s="87">
        <f>'[2]54.ND 31. Chi tung don vi'!J121</f>
        <v>7809.808596999999</v>
      </c>
      <c r="I26" s="92">
        <f>'[2]54.ND 31. Chi tung don vi'!K121</f>
        <v>12346.848268</v>
      </c>
      <c r="J26" s="87">
        <f>'[2]54.ND 31. Chi tung don vi'!L121</f>
        <v>2218.735</v>
      </c>
      <c r="K26" s="86">
        <f t="shared" si="6"/>
        <v>22010.644018000003</v>
      </c>
      <c r="L26" s="173">
        <v>4703.359</v>
      </c>
      <c r="M26" s="89">
        <f t="shared" si="7"/>
        <v>17307.285018000002</v>
      </c>
      <c r="N26" s="88"/>
      <c r="O26" s="89">
        <f t="shared" si="8"/>
        <v>17307.285018000002</v>
      </c>
      <c r="P26" s="87">
        <f>'[2]54.ND 31. Chi tung don vi'!P121</f>
        <v>4570.98705</v>
      </c>
      <c r="Q26" s="90">
        <f>'[2]54.ND 31. Chi tung don vi'!Q121</f>
        <v>10531.663968</v>
      </c>
      <c r="R26" s="86">
        <f>'[2]54.ND 31. Chi tung don vi'!R121</f>
        <v>2204.634</v>
      </c>
      <c r="S26" s="91">
        <v>0.9575486808481306</v>
      </c>
      <c r="T26" s="91">
        <v>1</v>
      </c>
      <c r="U26" s="91">
        <v>0.9416942273365463</v>
      </c>
      <c r="V26" s="88"/>
      <c r="W26" s="91">
        <v>0.9416942273365463</v>
      </c>
      <c r="X26" s="91">
        <v>1</v>
      </c>
      <c r="Y26" s="91">
        <v>0.9088090281540989</v>
      </c>
      <c r="Z26" s="91">
        <v>1</v>
      </c>
    </row>
    <row r="27" spans="1:26" s="93" customFormat="1" ht="15.75">
      <c r="A27" s="81">
        <v>14</v>
      </c>
      <c r="B27" s="125" t="s">
        <v>239</v>
      </c>
      <c r="C27" s="84">
        <f t="shared" si="3"/>
        <v>24066.633085</v>
      </c>
      <c r="D27" s="173">
        <v>5087.646</v>
      </c>
      <c r="E27" s="86">
        <f t="shared" si="4"/>
        <v>18978.987085</v>
      </c>
      <c r="F27" s="85"/>
      <c r="G27" s="85">
        <f t="shared" si="5"/>
        <v>18978.987085</v>
      </c>
      <c r="H27" s="87">
        <f>'[2]54.ND 31. Chi tung don vi'!J122</f>
        <v>5343.922192</v>
      </c>
      <c r="I27" s="92">
        <f>'[2]54.ND 31. Chi tung don vi'!K122</f>
        <v>12152.907893000001</v>
      </c>
      <c r="J27" s="87">
        <f>'[2]54.ND 31. Chi tung don vi'!L122</f>
        <v>1482.157</v>
      </c>
      <c r="K27" s="86">
        <f t="shared" si="6"/>
        <v>22758.318085000003</v>
      </c>
      <c r="L27" s="173">
        <v>5087.646</v>
      </c>
      <c r="M27" s="89">
        <f t="shared" si="7"/>
        <v>17670.672085000002</v>
      </c>
      <c r="N27" s="88"/>
      <c r="O27" s="89">
        <f t="shared" si="8"/>
        <v>17670.672085000002</v>
      </c>
      <c r="P27" s="87">
        <f>'[2]54.ND 31. Chi tung don vi'!P122</f>
        <v>5069.938192</v>
      </c>
      <c r="Q27" s="90">
        <f>'[2]54.ND 31. Chi tung don vi'!Q122</f>
        <v>11118.576893000001</v>
      </c>
      <c r="R27" s="86">
        <f>'[2]54.ND 31. Chi tung don vi'!R122</f>
        <v>1482.157</v>
      </c>
      <c r="S27" s="91">
        <v>0.8956024561334373</v>
      </c>
      <c r="T27" s="91">
        <v>1</v>
      </c>
      <c r="U27" s="91">
        <v>0.8343064160916753</v>
      </c>
      <c r="V27" s="88"/>
      <c r="W27" s="91">
        <v>0.8343064160916753</v>
      </c>
      <c r="X27" s="91">
        <v>0.6656586784886401</v>
      </c>
      <c r="Y27" s="91">
        <v>0.9066308511062572</v>
      </c>
      <c r="Z27" s="91">
        <v>1</v>
      </c>
    </row>
    <row r="28" spans="1:26" s="93" customFormat="1" ht="15.75">
      <c r="A28" s="81">
        <v>15</v>
      </c>
      <c r="B28" s="125" t="s">
        <v>240</v>
      </c>
      <c r="C28" s="84">
        <f t="shared" si="3"/>
        <v>21254.201445</v>
      </c>
      <c r="D28" s="173">
        <v>4027.815</v>
      </c>
      <c r="E28" s="86">
        <f t="shared" si="4"/>
        <v>17226.386445</v>
      </c>
      <c r="F28" s="85"/>
      <c r="G28" s="85">
        <f t="shared" si="5"/>
        <v>17226.386445</v>
      </c>
      <c r="H28" s="87">
        <f>'[2]54.ND 31. Chi tung don vi'!J123</f>
        <v>5004.69615</v>
      </c>
      <c r="I28" s="92">
        <f>'[2]54.ND 31. Chi tung don vi'!K123</f>
        <v>11081.690295</v>
      </c>
      <c r="J28" s="87">
        <f>'[2]54.ND 31. Chi tung don vi'!L123</f>
        <v>1140</v>
      </c>
      <c r="K28" s="86">
        <f t="shared" si="6"/>
        <v>19756.331445</v>
      </c>
      <c r="L28" s="173">
        <v>4027.815</v>
      </c>
      <c r="M28" s="89">
        <f t="shared" si="7"/>
        <v>15728.516445</v>
      </c>
      <c r="N28" s="88"/>
      <c r="O28" s="89">
        <f t="shared" si="8"/>
        <v>15728.516445</v>
      </c>
      <c r="P28" s="87">
        <f>'[2]54.ND 31. Chi tung don vi'!P123</f>
        <v>4713.69615</v>
      </c>
      <c r="Q28" s="90">
        <f>'[2]54.ND 31. Chi tung don vi'!Q123</f>
        <v>9874.820295</v>
      </c>
      <c r="R28" s="86">
        <f>'[2]54.ND 31. Chi tung don vi'!R123</f>
        <v>1140</v>
      </c>
      <c r="S28" s="91">
        <v>0.9536365488985834</v>
      </c>
      <c r="T28" s="91">
        <v>1</v>
      </c>
      <c r="U28" s="91">
        <v>0.932692635207748</v>
      </c>
      <c r="V28" s="88"/>
      <c r="W28" s="91">
        <v>0.932692635207748</v>
      </c>
      <c r="X28" s="91">
        <v>1</v>
      </c>
      <c r="Y28" s="91">
        <v>0.9084760202220287</v>
      </c>
      <c r="Z28" s="91">
        <v>1</v>
      </c>
    </row>
    <row r="29" spans="1:26" s="93" customFormat="1" ht="15.75">
      <c r="A29" s="81">
        <v>16</v>
      </c>
      <c r="B29" s="125" t="s">
        <v>241</v>
      </c>
      <c r="C29" s="84">
        <f t="shared" si="3"/>
        <v>31085.144381</v>
      </c>
      <c r="D29" s="173">
        <v>4105.24</v>
      </c>
      <c r="E29" s="86">
        <f t="shared" si="4"/>
        <v>26979.904381</v>
      </c>
      <c r="F29" s="85"/>
      <c r="G29" s="85">
        <f t="shared" si="5"/>
        <v>26979.904381</v>
      </c>
      <c r="H29" s="87">
        <f>'[2]54.ND 31. Chi tung don vi'!J124</f>
        <v>12736.252831000002</v>
      </c>
      <c r="I29" s="92">
        <f>'[2]54.ND 31. Chi tung don vi'!K124</f>
        <v>14243.65155</v>
      </c>
      <c r="J29" s="87">
        <f>'[2]54.ND 31. Chi tung don vi'!L124</f>
        <v>0</v>
      </c>
      <c r="K29" s="86">
        <f t="shared" si="6"/>
        <v>25302.935807</v>
      </c>
      <c r="L29" s="173">
        <v>4105.24</v>
      </c>
      <c r="M29" s="89">
        <f t="shared" si="7"/>
        <v>21197.695807</v>
      </c>
      <c r="N29" s="88"/>
      <c r="O29" s="89">
        <f t="shared" si="8"/>
        <v>21197.695807</v>
      </c>
      <c r="P29" s="87">
        <f>'[2]54.ND 31. Chi tung don vi'!P124</f>
        <v>7002.952793</v>
      </c>
      <c r="Q29" s="90">
        <f>'[2]54.ND 31. Chi tung don vi'!Q124</f>
        <v>14194.743014</v>
      </c>
      <c r="R29" s="86">
        <f>'[2]54.ND 31. Chi tung don vi'!R124</f>
        <v>0</v>
      </c>
      <c r="S29" s="91">
        <v>0.9526832491657578</v>
      </c>
      <c r="T29" s="91">
        <v>1</v>
      </c>
      <c r="U29" s="91">
        <v>0.9298789407025433</v>
      </c>
      <c r="V29" s="88"/>
      <c r="W29" s="91">
        <v>0.9298789407025433</v>
      </c>
      <c r="X29" s="91">
        <v>0.9153312806683801</v>
      </c>
      <c r="Y29" s="91">
        <v>0.9386212677568347</v>
      </c>
      <c r="Z29" s="91">
        <v>1</v>
      </c>
    </row>
    <row r="30" spans="1:26" s="93" customFormat="1" ht="15.75">
      <c r="A30" s="81">
        <v>17</v>
      </c>
      <c r="B30" s="125" t="s">
        <v>242</v>
      </c>
      <c r="C30" s="84">
        <f t="shared" si="3"/>
        <v>22567.982789</v>
      </c>
      <c r="D30" s="173">
        <v>4145.74</v>
      </c>
      <c r="E30" s="86">
        <f t="shared" si="4"/>
        <v>18422.242789</v>
      </c>
      <c r="F30" s="85"/>
      <c r="G30" s="85">
        <f t="shared" si="5"/>
        <v>18422.242789</v>
      </c>
      <c r="H30" s="87">
        <f>'[2]54.ND 31. Chi tung don vi'!J125</f>
        <v>8198.779</v>
      </c>
      <c r="I30" s="92">
        <f>'[2]54.ND 31. Chi tung don vi'!K125</f>
        <v>9083.463789</v>
      </c>
      <c r="J30" s="87">
        <f>'[2]54.ND 31. Chi tung don vi'!L125</f>
        <v>1140</v>
      </c>
      <c r="K30" s="86">
        <f t="shared" si="6"/>
        <v>21796.283388999997</v>
      </c>
      <c r="L30" s="173">
        <v>4145.74</v>
      </c>
      <c r="M30" s="89">
        <f t="shared" si="7"/>
        <v>17650.543389</v>
      </c>
      <c r="N30" s="88"/>
      <c r="O30" s="89">
        <f t="shared" si="8"/>
        <v>17650.543389</v>
      </c>
      <c r="P30" s="87">
        <f>'[2]54.ND 31. Chi tung don vi'!P125</f>
        <v>8198.779</v>
      </c>
      <c r="Q30" s="90">
        <f>'[2]54.ND 31. Chi tung don vi'!Q125</f>
        <v>8311.764389</v>
      </c>
      <c r="R30" s="86">
        <f>'[2]54.ND 31. Chi tung don vi'!R125</f>
        <v>1140</v>
      </c>
      <c r="S30" s="91">
        <v>0.9576717711480687</v>
      </c>
      <c r="T30" s="91">
        <v>1</v>
      </c>
      <c r="U30" s="91">
        <v>0.9376969965052592</v>
      </c>
      <c r="V30" s="88"/>
      <c r="W30" s="91">
        <v>0.9376969965052592</v>
      </c>
      <c r="X30" s="91">
        <v>0.7069828819733688</v>
      </c>
      <c r="Y30" s="91">
        <v>0.9930315321533879</v>
      </c>
      <c r="Z30" s="91">
        <v>1</v>
      </c>
    </row>
    <row r="31" spans="1:26" s="93" customFormat="1" ht="15.75">
      <c r="A31" s="81">
        <v>18</v>
      </c>
      <c r="B31" s="125" t="s">
        <v>243</v>
      </c>
      <c r="C31" s="84">
        <f t="shared" si="3"/>
        <v>24563.614997</v>
      </c>
      <c r="D31" s="173">
        <v>4119.327</v>
      </c>
      <c r="E31" s="86">
        <f t="shared" si="4"/>
        <v>20444.287997</v>
      </c>
      <c r="F31" s="85"/>
      <c r="G31" s="85">
        <f t="shared" si="5"/>
        <v>20444.287997</v>
      </c>
      <c r="H31" s="87">
        <f>'[2]54.ND 31. Chi tung don vi'!J126</f>
        <v>6071.140310999999</v>
      </c>
      <c r="I31" s="92">
        <f>'[2]54.ND 31. Chi tung don vi'!K126</f>
        <v>13603.147686</v>
      </c>
      <c r="J31" s="87">
        <f>'[2]54.ND 31. Chi tung don vi'!L126</f>
        <v>770</v>
      </c>
      <c r="K31" s="86">
        <f t="shared" si="6"/>
        <v>21741.718257</v>
      </c>
      <c r="L31" s="173">
        <v>4119.327</v>
      </c>
      <c r="M31" s="89">
        <f t="shared" si="7"/>
        <v>17622.391257</v>
      </c>
      <c r="N31" s="88"/>
      <c r="O31" s="89">
        <f t="shared" si="8"/>
        <v>17622.391257</v>
      </c>
      <c r="P31" s="87">
        <f>'[2]54.ND 31. Chi tung don vi'!P126</f>
        <v>4715.474571</v>
      </c>
      <c r="Q31" s="90">
        <f>'[2]54.ND 31. Chi tung don vi'!Q126</f>
        <v>12136.916686</v>
      </c>
      <c r="R31" s="86">
        <f>'[2]54.ND 31. Chi tung don vi'!R126</f>
        <v>770</v>
      </c>
      <c r="S31" s="91">
        <v>0.99973906262737</v>
      </c>
      <c r="T31" s="91">
        <v>1</v>
      </c>
      <c r="U31" s="91">
        <v>0.999647083868119</v>
      </c>
      <c r="V31" s="88"/>
      <c r="W31" s="91">
        <v>0.999647083868119</v>
      </c>
      <c r="X31" s="91">
        <v>1</v>
      </c>
      <c r="Y31" s="91">
        <v>0.9994936110183861</v>
      </c>
      <c r="Z31" s="91">
        <v>1</v>
      </c>
    </row>
    <row r="32" spans="1:26" s="93" customFormat="1" ht="15.75">
      <c r="A32" s="81">
        <v>19</v>
      </c>
      <c r="B32" s="125" t="s">
        <v>282</v>
      </c>
      <c r="C32" s="84">
        <f t="shared" si="3"/>
        <v>17119.562425</v>
      </c>
      <c r="D32" s="173">
        <v>4063.753</v>
      </c>
      <c r="E32" s="86">
        <f t="shared" si="4"/>
        <v>13055.809425</v>
      </c>
      <c r="F32" s="85"/>
      <c r="G32" s="85">
        <f t="shared" si="5"/>
        <v>13055.809425</v>
      </c>
      <c r="H32" s="87">
        <f>'[2]54.ND 31. Chi tung don vi'!J127</f>
        <v>5113.932</v>
      </c>
      <c r="I32" s="92">
        <f>'[2]54.ND 31. Chi tung don vi'!K127</f>
        <v>7941.877425</v>
      </c>
      <c r="J32" s="87">
        <f>'[2]54.ND 31. Chi tung don vi'!L127</f>
        <v>0</v>
      </c>
      <c r="K32" s="86">
        <f t="shared" si="6"/>
        <v>14219.562425</v>
      </c>
      <c r="L32" s="173">
        <v>4063.753</v>
      </c>
      <c r="M32" s="89">
        <f t="shared" si="7"/>
        <v>10155.809425</v>
      </c>
      <c r="N32" s="88"/>
      <c r="O32" s="89">
        <f t="shared" si="8"/>
        <v>10155.809425</v>
      </c>
      <c r="P32" s="87">
        <f>'[2]54.ND 31. Chi tung don vi'!P127</f>
        <v>2325.182</v>
      </c>
      <c r="Q32" s="90">
        <f>'[2]54.ND 31. Chi tung don vi'!Q127</f>
        <v>7830.627425</v>
      </c>
      <c r="R32" s="86">
        <f>'[2]54.ND 31. Chi tung don vi'!R127</f>
        <v>0</v>
      </c>
      <c r="S32" s="91">
        <v>1</v>
      </c>
      <c r="T32" s="91">
        <v>1</v>
      </c>
      <c r="U32" s="91">
        <v>1</v>
      </c>
      <c r="V32" s="88"/>
      <c r="W32" s="91">
        <v>1</v>
      </c>
      <c r="X32" s="91">
        <v>1</v>
      </c>
      <c r="Y32" s="91">
        <v>1</v>
      </c>
      <c r="Z32" s="91">
        <v>1</v>
      </c>
    </row>
    <row r="33" spans="1:26" s="93" customFormat="1" ht="15.75">
      <c r="A33" s="81">
        <v>20</v>
      </c>
      <c r="B33" s="125" t="s">
        <v>245</v>
      </c>
      <c r="C33" s="84">
        <f t="shared" si="3"/>
        <v>25604.71516</v>
      </c>
      <c r="D33" s="173">
        <v>4154.773</v>
      </c>
      <c r="E33" s="86">
        <f t="shared" si="4"/>
        <v>21449.94216</v>
      </c>
      <c r="F33" s="85"/>
      <c r="G33" s="85">
        <f t="shared" si="5"/>
        <v>21449.94216</v>
      </c>
      <c r="H33" s="87">
        <f>'[2]54.ND 31. Chi tung don vi'!J128</f>
        <v>9704.680381</v>
      </c>
      <c r="I33" s="92">
        <f>'[2]54.ND 31. Chi tung don vi'!K128</f>
        <v>11745.261779</v>
      </c>
      <c r="J33" s="87">
        <f>'[2]54.ND 31. Chi tung don vi'!L128</f>
        <v>0</v>
      </c>
      <c r="K33" s="86">
        <f t="shared" si="6"/>
        <v>23173.938748</v>
      </c>
      <c r="L33" s="173">
        <v>4154.773</v>
      </c>
      <c r="M33" s="89">
        <f t="shared" si="7"/>
        <v>19019.165748</v>
      </c>
      <c r="N33" s="88"/>
      <c r="O33" s="89">
        <f t="shared" si="8"/>
        <v>19019.165748</v>
      </c>
      <c r="P33" s="87">
        <f>'[2]54.ND 31. Chi tung don vi'!P128</f>
        <v>7780.295969</v>
      </c>
      <c r="Q33" s="90">
        <f>'[2]54.ND 31. Chi tung don vi'!Q128</f>
        <v>11238.869779</v>
      </c>
      <c r="R33" s="86">
        <f>'[2]54.ND 31. Chi tung don vi'!R128</f>
        <v>0</v>
      </c>
      <c r="S33" s="91">
        <v>0.9090787057581966</v>
      </c>
      <c r="T33" s="91">
        <v>1</v>
      </c>
      <c r="U33" s="91">
        <v>0.8696308827651057</v>
      </c>
      <c r="V33" s="88"/>
      <c r="W33" s="91">
        <v>0.8696308827651057</v>
      </c>
      <c r="X33" s="91">
        <v>0.8700934841737434</v>
      </c>
      <c r="Y33" s="91">
        <v>0.8694224302663509</v>
      </c>
      <c r="Z33" s="91">
        <v>1</v>
      </c>
    </row>
  </sheetData>
  <sheetProtection/>
  <mergeCells count="35">
    <mergeCell ref="U1:Y1"/>
    <mergeCell ref="X9:X10"/>
    <mergeCell ref="Y9:Y10"/>
    <mergeCell ref="Z9:Z10"/>
    <mergeCell ref="N9:O9"/>
    <mergeCell ref="P9:P10"/>
    <mergeCell ref="Q9:Q10"/>
    <mergeCell ref="R9:R10"/>
    <mergeCell ref="U9:U10"/>
    <mergeCell ref="E9:E10"/>
    <mergeCell ref="F9:G9"/>
    <mergeCell ref="H9:H10"/>
    <mergeCell ref="I9:I10"/>
    <mergeCell ref="J9:J10"/>
    <mergeCell ref="A5:AA5"/>
    <mergeCell ref="S7:Z7"/>
    <mergeCell ref="C8:C10"/>
    <mergeCell ref="D8:D10"/>
    <mergeCell ref="E8:J8"/>
    <mergeCell ref="V9:W9"/>
    <mergeCell ref="M8:R8"/>
    <mergeCell ref="S8:S10"/>
    <mergeCell ref="T8:T10"/>
    <mergeCell ref="U8:Z8"/>
    <mergeCell ref="L8:L10"/>
    <mergeCell ref="A1:C1"/>
    <mergeCell ref="A2:C2"/>
    <mergeCell ref="U2:X3"/>
    <mergeCell ref="A4:Z4"/>
    <mergeCell ref="M9:M10"/>
    <mergeCell ref="A7:A10"/>
    <mergeCell ref="B7:B10"/>
    <mergeCell ref="C7:J7"/>
    <mergeCell ref="K7:R7"/>
    <mergeCell ref="K8:K10"/>
  </mergeCells>
  <printOptions/>
  <pageMargins left="0.44" right="0.17" top="0.75" bottom="0.75" header="0.3" footer="0.3"/>
  <pageSetup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E46"/>
  <sheetViews>
    <sheetView zoomScale="85" zoomScaleNormal="85" zoomScalePageLayoutView="0" workbookViewId="0" topLeftCell="A4">
      <selection activeCell="BF4" sqref="BF1:BG16384"/>
    </sheetView>
  </sheetViews>
  <sheetFormatPr defaultColWidth="9.140625" defaultRowHeight="15"/>
  <cols>
    <col min="1" max="1" width="5.57421875" style="57" customWidth="1"/>
    <col min="2" max="2" width="22.140625" style="28" customWidth="1"/>
    <col min="3" max="12" width="9.140625" style="28" hidden="1" customWidth="1"/>
    <col min="13" max="13" width="7.57421875" style="73" customWidth="1"/>
    <col min="14" max="14" width="8.28125" style="28" customWidth="1"/>
    <col min="15" max="15" width="9.28125" style="28" customWidth="1"/>
    <col min="16" max="16" width="9.140625" style="28" hidden="1" customWidth="1"/>
    <col min="17" max="17" width="12.8515625" style="28" hidden="1" customWidth="1"/>
    <col min="18" max="18" width="11.7109375" style="28" hidden="1" customWidth="1"/>
    <col min="19" max="19" width="9.140625" style="75" hidden="1" customWidth="1"/>
    <col min="20" max="20" width="13.28125" style="75" hidden="1" customWidth="1"/>
    <col min="21" max="21" width="14.7109375" style="75" hidden="1" customWidth="1"/>
    <col min="22" max="22" width="7.8515625" style="75" hidden="1" customWidth="1"/>
    <col min="23" max="23" width="9.140625" style="75" hidden="1" customWidth="1"/>
    <col min="24" max="24" width="10.8515625" style="75" hidden="1" customWidth="1"/>
    <col min="25" max="25" width="11.7109375" style="75" hidden="1" customWidth="1"/>
    <col min="26" max="26" width="10.140625" style="75" hidden="1" customWidth="1"/>
    <col min="27" max="29" width="9.140625" style="75" hidden="1" customWidth="1"/>
    <col min="30" max="30" width="12.8515625" style="29" customWidth="1"/>
    <col min="31" max="31" width="11.57421875" style="29" customWidth="1"/>
    <col min="32" max="32" width="10.8515625" style="29" customWidth="1"/>
    <col min="33" max="33" width="1.57421875" style="29" hidden="1" customWidth="1"/>
    <col min="34" max="34" width="12.421875" style="29" customWidth="1"/>
    <col min="35" max="35" width="10.8515625" style="29" customWidth="1"/>
    <col min="36" max="36" width="7.8515625" style="29" hidden="1" customWidth="1"/>
    <col min="37" max="37" width="8.8515625" style="29" hidden="1" customWidth="1"/>
    <col min="38" max="38" width="14.00390625" style="29" hidden="1" customWidth="1"/>
    <col min="39" max="39" width="8.140625" style="29" hidden="1" customWidth="1"/>
    <col min="40" max="45" width="9.140625" style="29" hidden="1" customWidth="1"/>
    <col min="46" max="46" width="1.421875" style="29" hidden="1" customWidth="1"/>
    <col min="47" max="47" width="11.00390625" style="29" customWidth="1"/>
    <col min="48" max="48" width="9.57421875" style="29" customWidth="1"/>
    <col min="49" max="49" width="9.7109375" style="29" customWidth="1"/>
    <col min="50" max="50" width="11.00390625" style="29" hidden="1" customWidth="1"/>
    <col min="51" max="51" width="10.140625" style="29" customWidth="1"/>
    <col min="52" max="52" width="9.8515625" style="29" customWidth="1"/>
    <col min="53" max="53" width="10.421875" style="28" hidden="1" customWidth="1"/>
    <col min="54" max="54" width="10.28125" style="28" customWidth="1"/>
    <col min="55" max="55" width="10.421875" style="28" customWidth="1"/>
    <col min="56" max="56" width="10.8515625" style="28" customWidth="1"/>
    <col min="57" max="57" width="8.57421875" style="28" customWidth="1"/>
    <col min="58" max="16384" width="9.140625" style="28" customWidth="1"/>
  </cols>
  <sheetData>
    <row r="1" spans="1:57" ht="18.75" customHeight="1">
      <c r="A1" s="398" t="s">
        <v>220</v>
      </c>
      <c r="B1" s="398"/>
      <c r="BA1" s="395" t="s">
        <v>439</v>
      </c>
      <c r="BB1" s="395"/>
      <c r="BC1" s="395"/>
      <c r="BD1" s="395"/>
      <c r="BE1" s="395"/>
    </row>
    <row r="2" spans="1:56" ht="18.75" customHeight="1">
      <c r="A2" s="398" t="s">
        <v>227</v>
      </c>
      <c r="B2" s="398"/>
      <c r="BA2" s="418"/>
      <c r="BB2" s="418"/>
      <c r="BC2" s="418"/>
      <c r="BD2" s="418"/>
    </row>
    <row r="3" spans="53:56" ht="15">
      <c r="BA3" s="418"/>
      <c r="BB3" s="418"/>
      <c r="BC3" s="418"/>
      <c r="BD3" s="418"/>
    </row>
    <row r="4" spans="1:57" s="107" customFormat="1" ht="21" customHeight="1">
      <c r="A4" s="403" t="s">
        <v>293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58"/>
    </row>
    <row r="5" spans="1:57" s="107" customFormat="1" ht="32.25" customHeight="1">
      <c r="A5" s="388" t="s">
        <v>301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</row>
    <row r="6" spans="1:57" s="108" customFormat="1" ht="21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59"/>
    </row>
    <row r="7" spans="52:57" ht="19.5" customHeight="1">
      <c r="AZ7" s="417" t="s">
        <v>145</v>
      </c>
      <c r="BA7" s="417"/>
      <c r="BB7" s="417"/>
      <c r="BC7" s="417"/>
      <c r="BD7" s="417"/>
      <c r="BE7" s="417"/>
    </row>
    <row r="8" spans="1:57" ht="15.75" customHeight="1">
      <c r="A8" s="413" t="s">
        <v>7</v>
      </c>
      <c r="B8" s="401" t="s">
        <v>147</v>
      </c>
      <c r="C8" s="401" t="s">
        <v>217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14" t="s">
        <v>218</v>
      </c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01" t="s">
        <v>149</v>
      </c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 t="s">
        <v>151</v>
      </c>
      <c r="BC8" s="401"/>
      <c r="BD8" s="401"/>
      <c r="BE8" s="401"/>
    </row>
    <row r="9" spans="1:57" ht="15.75" customHeight="1">
      <c r="A9" s="413"/>
      <c r="B9" s="401"/>
      <c r="C9" s="401" t="s">
        <v>1</v>
      </c>
      <c r="D9" s="401" t="s">
        <v>143</v>
      </c>
      <c r="E9" s="401"/>
      <c r="F9" s="401" t="s">
        <v>203</v>
      </c>
      <c r="G9" s="401"/>
      <c r="H9" s="401"/>
      <c r="I9" s="401"/>
      <c r="J9" s="401"/>
      <c r="K9" s="401"/>
      <c r="L9" s="401"/>
      <c r="M9" s="401" t="s">
        <v>204</v>
      </c>
      <c r="N9" s="401"/>
      <c r="O9" s="401"/>
      <c r="P9" s="401"/>
      <c r="Q9" s="401"/>
      <c r="R9" s="401"/>
      <c r="S9" s="401"/>
      <c r="T9" s="414" t="s">
        <v>1</v>
      </c>
      <c r="U9" s="414" t="s">
        <v>143</v>
      </c>
      <c r="V9" s="414"/>
      <c r="W9" s="414" t="s">
        <v>203</v>
      </c>
      <c r="X9" s="414"/>
      <c r="Y9" s="414"/>
      <c r="Z9" s="414"/>
      <c r="AA9" s="414"/>
      <c r="AB9" s="414"/>
      <c r="AC9" s="414"/>
      <c r="AD9" s="402" t="s">
        <v>204</v>
      </c>
      <c r="AE9" s="402"/>
      <c r="AF9" s="402"/>
      <c r="AG9" s="402"/>
      <c r="AH9" s="402"/>
      <c r="AI9" s="402"/>
      <c r="AJ9" s="402"/>
      <c r="AK9" s="402" t="s">
        <v>1</v>
      </c>
      <c r="AL9" s="402" t="s">
        <v>143</v>
      </c>
      <c r="AM9" s="402"/>
      <c r="AN9" s="402" t="s">
        <v>203</v>
      </c>
      <c r="AO9" s="402"/>
      <c r="AP9" s="402"/>
      <c r="AQ9" s="402"/>
      <c r="AR9" s="402"/>
      <c r="AS9" s="402"/>
      <c r="AT9" s="402"/>
      <c r="AU9" s="401" t="s">
        <v>204</v>
      </c>
      <c r="AV9" s="401"/>
      <c r="AW9" s="401"/>
      <c r="AX9" s="401"/>
      <c r="AY9" s="401"/>
      <c r="AZ9" s="401"/>
      <c r="BA9" s="401"/>
      <c r="BB9" s="401" t="s">
        <v>1</v>
      </c>
      <c r="BC9" s="401" t="s">
        <v>143</v>
      </c>
      <c r="BD9" s="401"/>
      <c r="BE9" s="401" t="s">
        <v>144</v>
      </c>
    </row>
    <row r="10" spans="1:57" ht="15.75" customHeight="1">
      <c r="A10" s="413"/>
      <c r="B10" s="401"/>
      <c r="C10" s="401"/>
      <c r="D10" s="401" t="s">
        <v>189</v>
      </c>
      <c r="E10" s="401" t="s">
        <v>190</v>
      </c>
      <c r="F10" s="401" t="s">
        <v>1</v>
      </c>
      <c r="G10" s="401" t="s">
        <v>105</v>
      </c>
      <c r="H10" s="401"/>
      <c r="I10" s="401"/>
      <c r="J10" s="401" t="s">
        <v>190</v>
      </c>
      <c r="K10" s="401"/>
      <c r="L10" s="401"/>
      <c r="M10" s="415" t="s">
        <v>1</v>
      </c>
      <c r="N10" s="401" t="s">
        <v>105</v>
      </c>
      <c r="O10" s="401"/>
      <c r="P10" s="401"/>
      <c r="Q10" s="401" t="s">
        <v>190</v>
      </c>
      <c r="R10" s="401"/>
      <c r="S10" s="401"/>
      <c r="T10" s="414"/>
      <c r="U10" s="414" t="s">
        <v>189</v>
      </c>
      <c r="V10" s="414" t="s">
        <v>190</v>
      </c>
      <c r="W10" s="414" t="s">
        <v>1</v>
      </c>
      <c r="X10" s="414" t="s">
        <v>105</v>
      </c>
      <c r="Y10" s="414"/>
      <c r="Z10" s="414"/>
      <c r="AA10" s="414" t="s">
        <v>190</v>
      </c>
      <c r="AB10" s="414"/>
      <c r="AC10" s="414"/>
      <c r="AD10" s="402" t="s">
        <v>1</v>
      </c>
      <c r="AE10" s="402" t="s">
        <v>105</v>
      </c>
      <c r="AF10" s="402"/>
      <c r="AG10" s="402"/>
      <c r="AH10" s="402" t="s">
        <v>190</v>
      </c>
      <c r="AI10" s="402"/>
      <c r="AJ10" s="402"/>
      <c r="AK10" s="402"/>
      <c r="AL10" s="402" t="s">
        <v>189</v>
      </c>
      <c r="AM10" s="402" t="s">
        <v>190</v>
      </c>
      <c r="AN10" s="402" t="s">
        <v>1</v>
      </c>
      <c r="AO10" s="402" t="s">
        <v>105</v>
      </c>
      <c r="AP10" s="402"/>
      <c r="AQ10" s="402"/>
      <c r="AR10" s="402" t="s">
        <v>190</v>
      </c>
      <c r="AS10" s="402"/>
      <c r="AT10" s="402"/>
      <c r="AU10" s="402" t="s">
        <v>1</v>
      </c>
      <c r="AV10" s="402" t="s">
        <v>105</v>
      </c>
      <c r="AW10" s="402"/>
      <c r="AX10" s="402"/>
      <c r="AY10" s="401" t="s">
        <v>190</v>
      </c>
      <c r="AZ10" s="401"/>
      <c r="BA10" s="401"/>
      <c r="BB10" s="401"/>
      <c r="BC10" s="401" t="s">
        <v>105</v>
      </c>
      <c r="BD10" s="401" t="s">
        <v>121</v>
      </c>
      <c r="BE10" s="401"/>
    </row>
    <row r="11" spans="1:57" ht="15.75">
      <c r="A11" s="413"/>
      <c r="B11" s="401"/>
      <c r="C11" s="401"/>
      <c r="D11" s="401"/>
      <c r="E11" s="401"/>
      <c r="F11" s="401"/>
      <c r="G11" s="401" t="s">
        <v>1</v>
      </c>
      <c r="H11" s="401" t="s">
        <v>191</v>
      </c>
      <c r="I11" s="401"/>
      <c r="J11" s="401" t="s">
        <v>1</v>
      </c>
      <c r="K11" s="401" t="s">
        <v>191</v>
      </c>
      <c r="L11" s="401"/>
      <c r="M11" s="415"/>
      <c r="N11" s="401" t="s">
        <v>1</v>
      </c>
      <c r="O11" s="401" t="s">
        <v>191</v>
      </c>
      <c r="P11" s="401"/>
      <c r="Q11" s="401" t="s">
        <v>1</v>
      </c>
      <c r="R11" s="401" t="s">
        <v>191</v>
      </c>
      <c r="S11" s="401"/>
      <c r="T11" s="414"/>
      <c r="U11" s="414"/>
      <c r="V11" s="414"/>
      <c r="W11" s="414"/>
      <c r="X11" s="414" t="s">
        <v>1</v>
      </c>
      <c r="Y11" s="414" t="s">
        <v>191</v>
      </c>
      <c r="Z11" s="414"/>
      <c r="AA11" s="414" t="s">
        <v>1</v>
      </c>
      <c r="AB11" s="414" t="s">
        <v>191</v>
      </c>
      <c r="AC11" s="414"/>
      <c r="AD11" s="402"/>
      <c r="AE11" s="402" t="s">
        <v>1</v>
      </c>
      <c r="AF11" s="402" t="s">
        <v>191</v>
      </c>
      <c r="AG11" s="402"/>
      <c r="AH11" s="402" t="s">
        <v>1</v>
      </c>
      <c r="AI11" s="402" t="s">
        <v>191</v>
      </c>
      <c r="AJ11" s="402"/>
      <c r="AK11" s="402"/>
      <c r="AL11" s="402"/>
      <c r="AM11" s="402"/>
      <c r="AN11" s="402"/>
      <c r="AO11" s="402" t="s">
        <v>1</v>
      </c>
      <c r="AP11" s="402" t="s">
        <v>191</v>
      </c>
      <c r="AQ11" s="402"/>
      <c r="AR11" s="402" t="s">
        <v>1</v>
      </c>
      <c r="AS11" s="402" t="s">
        <v>191</v>
      </c>
      <c r="AT11" s="402"/>
      <c r="AU11" s="402"/>
      <c r="AV11" s="402" t="s">
        <v>1</v>
      </c>
      <c r="AW11" s="402" t="s">
        <v>191</v>
      </c>
      <c r="AX11" s="402"/>
      <c r="AY11" s="402" t="s">
        <v>1</v>
      </c>
      <c r="AZ11" s="401" t="s">
        <v>191</v>
      </c>
      <c r="BA11" s="401"/>
      <c r="BB11" s="401"/>
      <c r="BC11" s="401"/>
      <c r="BD11" s="401"/>
      <c r="BE11" s="401"/>
    </row>
    <row r="12" spans="1:57" ht="69.75" customHeight="1">
      <c r="A12" s="413"/>
      <c r="B12" s="401"/>
      <c r="C12" s="401"/>
      <c r="D12" s="401"/>
      <c r="E12" s="401"/>
      <c r="F12" s="401"/>
      <c r="G12" s="401"/>
      <c r="H12" s="95" t="s">
        <v>178</v>
      </c>
      <c r="I12" s="95" t="s">
        <v>177</v>
      </c>
      <c r="J12" s="401"/>
      <c r="K12" s="95" t="s">
        <v>178</v>
      </c>
      <c r="L12" s="95" t="s">
        <v>177</v>
      </c>
      <c r="M12" s="415"/>
      <c r="N12" s="401"/>
      <c r="O12" s="95" t="s">
        <v>178</v>
      </c>
      <c r="P12" s="95" t="s">
        <v>177</v>
      </c>
      <c r="Q12" s="401"/>
      <c r="R12" s="95" t="s">
        <v>178</v>
      </c>
      <c r="S12" s="96" t="s">
        <v>177</v>
      </c>
      <c r="T12" s="414"/>
      <c r="U12" s="414"/>
      <c r="V12" s="414"/>
      <c r="W12" s="414"/>
      <c r="X12" s="414"/>
      <c r="Y12" s="96" t="s">
        <v>178</v>
      </c>
      <c r="Z12" s="96" t="s">
        <v>177</v>
      </c>
      <c r="AA12" s="414"/>
      <c r="AB12" s="96" t="s">
        <v>178</v>
      </c>
      <c r="AC12" s="96" t="s">
        <v>177</v>
      </c>
      <c r="AD12" s="402"/>
      <c r="AE12" s="402"/>
      <c r="AF12" s="166" t="s">
        <v>178</v>
      </c>
      <c r="AG12" s="166" t="s">
        <v>177</v>
      </c>
      <c r="AH12" s="402"/>
      <c r="AI12" s="166" t="s">
        <v>178</v>
      </c>
      <c r="AJ12" s="166" t="s">
        <v>177</v>
      </c>
      <c r="AK12" s="402"/>
      <c r="AL12" s="402"/>
      <c r="AM12" s="402"/>
      <c r="AN12" s="402"/>
      <c r="AO12" s="402"/>
      <c r="AP12" s="166" t="s">
        <v>178</v>
      </c>
      <c r="AQ12" s="166" t="s">
        <v>177</v>
      </c>
      <c r="AR12" s="402"/>
      <c r="AS12" s="166" t="s">
        <v>178</v>
      </c>
      <c r="AT12" s="166" t="s">
        <v>177</v>
      </c>
      <c r="AU12" s="402"/>
      <c r="AV12" s="402"/>
      <c r="AW12" s="166" t="s">
        <v>178</v>
      </c>
      <c r="AX12" s="166" t="s">
        <v>177</v>
      </c>
      <c r="AY12" s="402"/>
      <c r="AZ12" s="166" t="s">
        <v>178</v>
      </c>
      <c r="BA12" s="95" t="s">
        <v>177</v>
      </c>
      <c r="BB12" s="401"/>
      <c r="BC12" s="401"/>
      <c r="BD12" s="401"/>
      <c r="BE12" s="401"/>
    </row>
    <row r="13" spans="1:57" s="202" customFormat="1" ht="15">
      <c r="A13" s="68" t="s">
        <v>16</v>
      </c>
      <c r="B13" s="68" t="s">
        <v>17</v>
      </c>
      <c r="C13" s="68">
        <v>5</v>
      </c>
      <c r="D13" s="68">
        <v>6</v>
      </c>
      <c r="E13" s="68">
        <v>7</v>
      </c>
      <c r="F13" s="68">
        <v>8</v>
      </c>
      <c r="G13" s="68">
        <v>9</v>
      </c>
      <c r="H13" s="68">
        <v>10</v>
      </c>
      <c r="I13" s="68">
        <v>11</v>
      </c>
      <c r="J13" s="68">
        <v>12</v>
      </c>
      <c r="K13" s="68">
        <v>13</v>
      </c>
      <c r="L13" s="68">
        <v>14</v>
      </c>
      <c r="M13" s="68">
        <v>8</v>
      </c>
      <c r="N13" s="68">
        <v>9</v>
      </c>
      <c r="O13" s="68">
        <v>10</v>
      </c>
      <c r="P13" s="68">
        <v>11</v>
      </c>
      <c r="Q13" s="68">
        <v>12</v>
      </c>
      <c r="R13" s="68">
        <v>13</v>
      </c>
      <c r="S13" s="68">
        <v>14</v>
      </c>
      <c r="T13" s="68">
        <v>5</v>
      </c>
      <c r="U13" s="68">
        <v>6</v>
      </c>
      <c r="V13" s="68">
        <v>7</v>
      </c>
      <c r="W13" s="68">
        <v>8</v>
      </c>
      <c r="X13" s="68">
        <v>9</v>
      </c>
      <c r="Y13" s="68">
        <v>10</v>
      </c>
      <c r="Z13" s="68">
        <v>11</v>
      </c>
      <c r="AA13" s="68">
        <v>12</v>
      </c>
      <c r="AB13" s="68">
        <v>13</v>
      </c>
      <c r="AC13" s="68">
        <v>14</v>
      </c>
      <c r="AD13" s="200">
        <v>8</v>
      </c>
      <c r="AE13" s="200">
        <v>9</v>
      </c>
      <c r="AF13" s="200">
        <v>10</v>
      </c>
      <c r="AG13" s="200">
        <v>11</v>
      </c>
      <c r="AH13" s="200">
        <v>12</v>
      </c>
      <c r="AI13" s="200">
        <v>13</v>
      </c>
      <c r="AJ13" s="200">
        <v>14</v>
      </c>
      <c r="AK13" s="200">
        <v>5</v>
      </c>
      <c r="AL13" s="200">
        <v>6</v>
      </c>
      <c r="AM13" s="200">
        <v>7</v>
      </c>
      <c r="AN13" s="200">
        <v>8</v>
      </c>
      <c r="AO13" s="200">
        <v>9</v>
      </c>
      <c r="AP13" s="200">
        <v>10</v>
      </c>
      <c r="AQ13" s="200">
        <v>11</v>
      </c>
      <c r="AR13" s="200">
        <v>12</v>
      </c>
      <c r="AS13" s="200">
        <v>13</v>
      </c>
      <c r="AT13" s="200">
        <v>14</v>
      </c>
      <c r="AU13" s="200">
        <v>8</v>
      </c>
      <c r="AV13" s="200">
        <v>9</v>
      </c>
      <c r="AW13" s="200">
        <v>10</v>
      </c>
      <c r="AX13" s="200">
        <v>11</v>
      </c>
      <c r="AY13" s="200">
        <v>12</v>
      </c>
      <c r="AZ13" s="200">
        <v>13</v>
      </c>
      <c r="BA13" s="68">
        <v>14</v>
      </c>
      <c r="BB13" s="68" t="s">
        <v>192</v>
      </c>
      <c r="BC13" s="68" t="s">
        <v>193</v>
      </c>
      <c r="BD13" s="68" t="s">
        <v>194</v>
      </c>
      <c r="BE13" s="201" t="s">
        <v>195</v>
      </c>
    </row>
    <row r="14" spans="1:57" s="51" customFormat="1" ht="27.75" customHeight="1">
      <c r="A14" s="98"/>
      <c r="B14" s="30" t="s">
        <v>167</v>
      </c>
      <c r="C14" s="99">
        <f>C15+C21</f>
        <v>0</v>
      </c>
      <c r="D14" s="99">
        <f>D15+D21</f>
        <v>0</v>
      </c>
      <c r="E14" s="99">
        <f>E15+E21</f>
        <v>0</v>
      </c>
      <c r="F14" s="95"/>
      <c r="G14" s="95"/>
      <c r="H14" s="95"/>
      <c r="I14" s="95"/>
      <c r="J14" s="95"/>
      <c r="K14" s="95"/>
      <c r="L14" s="95"/>
      <c r="M14" s="97">
        <f>M15+M21</f>
        <v>0</v>
      </c>
      <c r="N14" s="95"/>
      <c r="O14" s="95"/>
      <c r="P14" s="95"/>
      <c r="Q14" s="95"/>
      <c r="R14" s="95"/>
      <c r="S14" s="96"/>
      <c r="T14" s="96">
        <f aca="true" t="shared" si="0" ref="T14:AJ14">T15+T21</f>
        <v>13099.615999999998</v>
      </c>
      <c r="U14" s="96">
        <f t="shared" si="0"/>
        <v>8550.586</v>
      </c>
      <c r="V14" s="96">
        <f t="shared" si="0"/>
        <v>4549.03</v>
      </c>
      <c r="W14" s="96">
        <f t="shared" si="0"/>
        <v>0</v>
      </c>
      <c r="X14" s="96">
        <f t="shared" si="0"/>
        <v>0</v>
      </c>
      <c r="Y14" s="96">
        <f t="shared" si="0"/>
        <v>0</v>
      </c>
      <c r="Z14" s="96">
        <f t="shared" si="0"/>
        <v>0</v>
      </c>
      <c r="AA14" s="96">
        <f t="shared" si="0"/>
        <v>0</v>
      </c>
      <c r="AB14" s="96">
        <f t="shared" si="0"/>
        <v>0</v>
      </c>
      <c r="AC14" s="96">
        <f t="shared" si="0"/>
        <v>0</v>
      </c>
      <c r="AD14" s="166">
        <f t="shared" si="0"/>
        <v>19585</v>
      </c>
      <c r="AE14" s="166">
        <f t="shared" si="0"/>
        <v>14110</v>
      </c>
      <c r="AF14" s="166">
        <f t="shared" si="0"/>
        <v>14110</v>
      </c>
      <c r="AG14" s="166">
        <f t="shared" si="0"/>
        <v>0</v>
      </c>
      <c r="AH14" s="166">
        <f t="shared" si="0"/>
        <v>5475</v>
      </c>
      <c r="AI14" s="166">
        <f t="shared" si="0"/>
        <v>5475</v>
      </c>
      <c r="AJ14" s="166">
        <f t="shared" si="0"/>
        <v>0</v>
      </c>
      <c r="AK14" s="166">
        <f>AL14+AM14</f>
        <v>0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>
        <f aca="true" t="shared" si="1" ref="AU14:BA14">AU15+AU21</f>
        <v>13744.930999999999</v>
      </c>
      <c r="AV14" s="166">
        <f t="shared" si="1"/>
        <v>8550.586</v>
      </c>
      <c r="AW14" s="166">
        <f t="shared" si="1"/>
        <v>8550.586</v>
      </c>
      <c r="AX14" s="166">
        <f t="shared" si="1"/>
        <v>0</v>
      </c>
      <c r="AY14" s="166">
        <f t="shared" si="1"/>
        <v>5194.344999999999</v>
      </c>
      <c r="AZ14" s="166">
        <f t="shared" si="1"/>
        <v>5194.344999999999</v>
      </c>
      <c r="BA14" s="60">
        <f t="shared" si="1"/>
        <v>0</v>
      </c>
      <c r="BB14" s="71">
        <f aca="true" t="shared" si="2" ref="BB14:BB22">AU14/(AD14+M14)*100</f>
        <v>70.18090885882053</v>
      </c>
      <c r="BC14" s="71">
        <f>AW14/AF14*100</f>
        <v>60.59947554925584</v>
      </c>
      <c r="BD14" s="71">
        <f aca="true" t="shared" si="3" ref="BD14:BD22">AZ14/AI14*100</f>
        <v>94.87388127853879</v>
      </c>
      <c r="BE14" s="203"/>
    </row>
    <row r="15" spans="1:57" s="51" customFormat="1" ht="33" customHeight="1">
      <c r="A15" s="174" t="s">
        <v>86</v>
      </c>
      <c r="B15" s="175" t="s">
        <v>253</v>
      </c>
      <c r="C15" s="176">
        <f>SUM(C16:C17)</f>
        <v>0</v>
      </c>
      <c r="D15" s="176">
        <f>SUM(D16:D31)</f>
        <v>0</v>
      </c>
      <c r="E15" s="176">
        <f>SUM(E16:E31)</f>
        <v>0</v>
      </c>
      <c r="F15" s="177">
        <f aca="true" t="shared" si="4" ref="F15:L15">SUM(F16:F17)+F21</f>
        <v>0</v>
      </c>
      <c r="G15" s="177">
        <f t="shared" si="4"/>
        <v>0</v>
      </c>
      <c r="H15" s="177">
        <f t="shared" si="4"/>
        <v>0</v>
      </c>
      <c r="I15" s="177">
        <f t="shared" si="4"/>
        <v>0</v>
      </c>
      <c r="J15" s="177">
        <f t="shared" si="4"/>
        <v>0</v>
      </c>
      <c r="K15" s="177">
        <f t="shared" si="4"/>
        <v>0</v>
      </c>
      <c r="L15" s="177">
        <f t="shared" si="4"/>
        <v>0</v>
      </c>
      <c r="M15" s="178">
        <f>SUM(M16:M20)</f>
        <v>0</v>
      </c>
      <c r="N15" s="178">
        <f aca="true" t="shared" si="5" ref="N15:AZ15">SUM(N16:N20)</f>
        <v>0</v>
      </c>
      <c r="O15" s="178">
        <f t="shared" si="5"/>
        <v>0</v>
      </c>
      <c r="P15" s="178">
        <f t="shared" si="5"/>
        <v>0</v>
      </c>
      <c r="Q15" s="178">
        <f t="shared" si="5"/>
        <v>0</v>
      </c>
      <c r="R15" s="178">
        <f t="shared" si="5"/>
        <v>0</v>
      </c>
      <c r="S15" s="178">
        <f t="shared" si="5"/>
        <v>0</v>
      </c>
      <c r="T15" s="178">
        <f t="shared" si="5"/>
        <v>0</v>
      </c>
      <c r="U15" s="178">
        <f t="shared" si="5"/>
        <v>0</v>
      </c>
      <c r="V15" s="178">
        <f t="shared" si="5"/>
        <v>0</v>
      </c>
      <c r="W15" s="178">
        <f t="shared" si="5"/>
        <v>0</v>
      </c>
      <c r="X15" s="178">
        <f t="shared" si="5"/>
        <v>0</v>
      </c>
      <c r="Y15" s="178">
        <f t="shared" si="5"/>
        <v>0</v>
      </c>
      <c r="Z15" s="178">
        <f t="shared" si="5"/>
        <v>0</v>
      </c>
      <c r="AA15" s="178">
        <f t="shared" si="5"/>
        <v>0</v>
      </c>
      <c r="AB15" s="178">
        <f t="shared" si="5"/>
        <v>0</v>
      </c>
      <c r="AC15" s="178">
        <f t="shared" si="5"/>
        <v>0</v>
      </c>
      <c r="AD15" s="206">
        <f>SUM(AD16:AD20)</f>
        <v>6455.97</v>
      </c>
      <c r="AE15" s="206">
        <f t="shared" si="5"/>
        <v>5530</v>
      </c>
      <c r="AF15" s="206">
        <f t="shared" si="5"/>
        <v>5530</v>
      </c>
      <c r="AG15" s="206">
        <f t="shared" si="5"/>
        <v>0</v>
      </c>
      <c r="AH15" s="206">
        <f t="shared" si="5"/>
        <v>925.97</v>
      </c>
      <c r="AI15" s="206">
        <f t="shared" si="5"/>
        <v>925.97</v>
      </c>
      <c r="AJ15" s="206">
        <f t="shared" si="5"/>
        <v>0</v>
      </c>
      <c r="AK15" s="206">
        <f t="shared" si="5"/>
        <v>0</v>
      </c>
      <c r="AL15" s="206">
        <f t="shared" si="5"/>
        <v>0</v>
      </c>
      <c r="AM15" s="206">
        <f t="shared" si="5"/>
        <v>0</v>
      </c>
      <c r="AN15" s="206">
        <f t="shared" si="5"/>
        <v>0</v>
      </c>
      <c r="AO15" s="206">
        <f t="shared" si="5"/>
        <v>0</v>
      </c>
      <c r="AP15" s="206">
        <f t="shared" si="5"/>
        <v>0</v>
      </c>
      <c r="AQ15" s="206">
        <f t="shared" si="5"/>
        <v>0</v>
      </c>
      <c r="AR15" s="206">
        <f t="shared" si="5"/>
        <v>0</v>
      </c>
      <c r="AS15" s="206">
        <f t="shared" si="5"/>
        <v>0</v>
      </c>
      <c r="AT15" s="206">
        <f t="shared" si="5"/>
        <v>0</v>
      </c>
      <c r="AU15" s="206">
        <f t="shared" si="5"/>
        <v>645.315</v>
      </c>
      <c r="AV15" s="206">
        <f t="shared" si="5"/>
        <v>0</v>
      </c>
      <c r="AW15" s="206">
        <f t="shared" si="5"/>
        <v>0</v>
      </c>
      <c r="AX15" s="206">
        <f t="shared" si="5"/>
        <v>0</v>
      </c>
      <c r="AY15" s="206">
        <f t="shared" si="5"/>
        <v>645.315</v>
      </c>
      <c r="AZ15" s="206">
        <f t="shared" si="5"/>
        <v>645.315</v>
      </c>
      <c r="BA15" s="177">
        <f>SUM(BA16:BA17)</f>
        <v>0</v>
      </c>
      <c r="BB15" s="179">
        <f t="shared" si="2"/>
        <v>9.995631949962593</v>
      </c>
      <c r="BC15" s="179"/>
      <c r="BD15" s="179">
        <f t="shared" si="3"/>
        <v>69.69070272255041</v>
      </c>
      <c r="BE15" s="204">
        <f>SUM(BE16:BE17)</f>
        <v>0</v>
      </c>
    </row>
    <row r="16" spans="1:57" ht="24.75" customHeight="1">
      <c r="A16" s="180" t="s">
        <v>250</v>
      </c>
      <c r="B16" s="127" t="s">
        <v>247</v>
      </c>
      <c r="C16" s="181">
        <f>D16+E16</f>
        <v>0</v>
      </c>
      <c r="D16" s="181">
        <f>+N16</f>
        <v>0</v>
      </c>
      <c r="E16" s="181">
        <f>+Q16</f>
        <v>0</v>
      </c>
      <c r="F16" s="182"/>
      <c r="G16" s="182"/>
      <c r="H16" s="182"/>
      <c r="I16" s="182"/>
      <c r="J16" s="182"/>
      <c r="K16" s="182"/>
      <c r="L16" s="182"/>
      <c r="M16" s="183"/>
      <c r="N16" s="184"/>
      <c r="O16" s="185"/>
      <c r="P16" s="182"/>
      <c r="Q16" s="182"/>
      <c r="R16" s="182"/>
      <c r="S16" s="128"/>
      <c r="T16" s="128">
        <f>U16+V16</f>
        <v>0</v>
      </c>
      <c r="U16" s="126"/>
      <c r="V16" s="128"/>
      <c r="W16" s="128"/>
      <c r="X16" s="128"/>
      <c r="Y16" s="128"/>
      <c r="Z16" s="126"/>
      <c r="AA16" s="128"/>
      <c r="AB16" s="128"/>
      <c r="AC16" s="128"/>
      <c r="AD16" s="207">
        <f>AE16+AH16</f>
        <v>730.97</v>
      </c>
      <c r="AE16" s="207">
        <f>AF16+AG16</f>
        <v>0</v>
      </c>
      <c r="AF16" s="211"/>
      <c r="AG16" s="207"/>
      <c r="AH16" s="207">
        <f>AI16</f>
        <v>730.97</v>
      </c>
      <c r="AI16" s="207">
        <f>125+240+365.97</f>
        <v>730.97</v>
      </c>
      <c r="AJ16" s="207"/>
      <c r="AK16" s="207">
        <f>AL16+AM16</f>
        <v>0</v>
      </c>
      <c r="AL16" s="212"/>
      <c r="AM16" s="207"/>
      <c r="AN16" s="207"/>
      <c r="AO16" s="207"/>
      <c r="AP16" s="207"/>
      <c r="AQ16" s="207"/>
      <c r="AR16" s="207"/>
      <c r="AS16" s="207"/>
      <c r="AT16" s="207"/>
      <c r="AU16" s="207">
        <f>AV16+AY16</f>
        <v>450.345</v>
      </c>
      <c r="AV16" s="207">
        <f>AW16+AX16</f>
        <v>0</v>
      </c>
      <c r="AW16" s="212"/>
      <c r="AX16" s="207"/>
      <c r="AY16" s="207">
        <f>AZ16+BA16</f>
        <v>450.345</v>
      </c>
      <c r="AZ16" s="207">
        <f>450.345</f>
        <v>450.345</v>
      </c>
      <c r="BA16" s="182"/>
      <c r="BB16" s="186">
        <f t="shared" si="2"/>
        <v>61.609231569011044</v>
      </c>
      <c r="BC16" s="186"/>
      <c r="BD16" s="186">
        <f t="shared" si="3"/>
        <v>61.609231569011044</v>
      </c>
      <c r="BE16" s="182"/>
    </row>
    <row r="17" spans="1:57" ht="24" customHeight="1">
      <c r="A17" s="180" t="s">
        <v>251</v>
      </c>
      <c r="B17" s="127" t="s">
        <v>255</v>
      </c>
      <c r="C17" s="181">
        <f>D17+E17</f>
        <v>0</v>
      </c>
      <c r="D17" s="181">
        <f>+N17</f>
        <v>0</v>
      </c>
      <c r="E17" s="181">
        <f>+Q17</f>
        <v>0</v>
      </c>
      <c r="F17" s="182"/>
      <c r="G17" s="182"/>
      <c r="H17" s="182"/>
      <c r="I17" s="182"/>
      <c r="J17" s="182"/>
      <c r="K17" s="182"/>
      <c r="L17" s="182"/>
      <c r="M17" s="183"/>
      <c r="N17" s="184"/>
      <c r="O17" s="185"/>
      <c r="P17" s="182"/>
      <c r="Q17" s="182"/>
      <c r="R17" s="182"/>
      <c r="S17" s="128"/>
      <c r="T17" s="128">
        <f>U17+V17</f>
        <v>0</v>
      </c>
      <c r="U17" s="126"/>
      <c r="V17" s="128"/>
      <c r="W17" s="128"/>
      <c r="X17" s="128"/>
      <c r="Y17" s="128"/>
      <c r="Z17" s="126"/>
      <c r="AA17" s="128"/>
      <c r="AB17" s="128"/>
      <c r="AC17" s="128"/>
      <c r="AD17" s="207">
        <f>AE17+AH17</f>
        <v>125</v>
      </c>
      <c r="AE17" s="207">
        <f>AF17+AG17</f>
        <v>0</v>
      </c>
      <c r="AF17" s="212"/>
      <c r="AG17" s="207"/>
      <c r="AH17" s="207">
        <f>AI17</f>
        <v>125</v>
      </c>
      <c r="AI17" s="207">
        <v>125</v>
      </c>
      <c r="AJ17" s="207"/>
      <c r="AK17" s="207">
        <f>AL17+AM17</f>
        <v>0</v>
      </c>
      <c r="AL17" s="212"/>
      <c r="AM17" s="207"/>
      <c r="AN17" s="207"/>
      <c r="AO17" s="207"/>
      <c r="AP17" s="207"/>
      <c r="AQ17" s="207"/>
      <c r="AR17" s="207"/>
      <c r="AS17" s="207"/>
      <c r="AT17" s="207"/>
      <c r="AU17" s="207">
        <f>AV17+AY17</f>
        <v>124.97</v>
      </c>
      <c r="AV17" s="207">
        <f>AW17+AX17</f>
        <v>0</v>
      </c>
      <c r="AW17" s="212"/>
      <c r="AX17" s="207"/>
      <c r="AY17" s="207">
        <f>AZ17+BA17</f>
        <v>124.97</v>
      </c>
      <c r="AZ17" s="207">
        <f>124.97</f>
        <v>124.97</v>
      </c>
      <c r="BA17" s="182"/>
      <c r="BB17" s="186">
        <f t="shared" si="2"/>
        <v>99.976</v>
      </c>
      <c r="BC17" s="186"/>
      <c r="BD17" s="186">
        <f t="shared" si="3"/>
        <v>99.976</v>
      </c>
      <c r="BE17" s="182"/>
    </row>
    <row r="18" spans="1:57" ht="24" customHeight="1">
      <c r="A18" s="180" t="s">
        <v>252</v>
      </c>
      <c r="B18" s="127" t="s">
        <v>258</v>
      </c>
      <c r="C18" s="181"/>
      <c r="D18" s="181"/>
      <c r="E18" s="181"/>
      <c r="F18" s="182"/>
      <c r="G18" s="182"/>
      <c r="H18" s="182"/>
      <c r="I18" s="182"/>
      <c r="J18" s="182"/>
      <c r="K18" s="182"/>
      <c r="L18" s="182"/>
      <c r="M18" s="183"/>
      <c r="N18" s="184"/>
      <c r="O18" s="185"/>
      <c r="P18" s="182"/>
      <c r="Q18" s="182"/>
      <c r="R18" s="182"/>
      <c r="S18" s="128"/>
      <c r="T18" s="128">
        <f>U18+V18</f>
        <v>0</v>
      </c>
      <c r="U18" s="126"/>
      <c r="V18" s="128"/>
      <c r="W18" s="128"/>
      <c r="X18" s="128"/>
      <c r="Y18" s="128"/>
      <c r="Z18" s="126"/>
      <c r="AA18" s="128"/>
      <c r="AB18" s="128"/>
      <c r="AC18" s="128"/>
      <c r="AD18" s="207"/>
      <c r="AE18" s="207"/>
      <c r="AF18" s="212"/>
      <c r="AG18" s="207"/>
      <c r="AH18" s="207"/>
      <c r="AI18" s="207"/>
      <c r="AJ18" s="207"/>
      <c r="AK18" s="207"/>
      <c r="AL18" s="212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12"/>
      <c r="AX18" s="207"/>
      <c r="AY18" s="207"/>
      <c r="AZ18" s="207"/>
      <c r="BA18" s="182"/>
      <c r="BB18" s="186"/>
      <c r="BC18" s="186"/>
      <c r="BD18" s="186"/>
      <c r="BE18" s="182"/>
    </row>
    <row r="19" spans="1:57" ht="33.75" customHeight="1">
      <c r="A19" s="180" t="s">
        <v>259</v>
      </c>
      <c r="B19" s="127" t="s">
        <v>277</v>
      </c>
      <c r="C19" s="181"/>
      <c r="D19" s="181"/>
      <c r="E19" s="181"/>
      <c r="F19" s="182"/>
      <c r="G19" s="182"/>
      <c r="H19" s="182"/>
      <c r="I19" s="182"/>
      <c r="J19" s="182"/>
      <c r="K19" s="182"/>
      <c r="L19" s="182"/>
      <c r="M19" s="183"/>
      <c r="N19" s="184"/>
      <c r="O19" s="185"/>
      <c r="P19" s="182"/>
      <c r="Q19" s="182"/>
      <c r="R19" s="182"/>
      <c r="S19" s="128"/>
      <c r="T19" s="128">
        <f>U19+V19</f>
        <v>0</v>
      </c>
      <c r="U19" s="126"/>
      <c r="V19" s="128"/>
      <c r="W19" s="128"/>
      <c r="X19" s="128"/>
      <c r="Y19" s="128"/>
      <c r="Z19" s="126"/>
      <c r="AA19" s="128"/>
      <c r="AB19" s="128"/>
      <c r="AC19" s="128"/>
      <c r="AD19" s="207">
        <f>AE19+AH19</f>
        <v>70</v>
      </c>
      <c r="AE19" s="207">
        <f>AF19+AG19</f>
        <v>0</v>
      </c>
      <c r="AF19" s="212"/>
      <c r="AG19" s="207"/>
      <c r="AH19" s="207">
        <f>AI19</f>
        <v>70</v>
      </c>
      <c r="AI19" s="207">
        <v>70</v>
      </c>
      <c r="AJ19" s="207"/>
      <c r="AK19" s="207">
        <f>AL19+AM19</f>
        <v>0</v>
      </c>
      <c r="AL19" s="212"/>
      <c r="AM19" s="207"/>
      <c r="AN19" s="207"/>
      <c r="AO19" s="207"/>
      <c r="AP19" s="207"/>
      <c r="AQ19" s="207"/>
      <c r="AR19" s="207"/>
      <c r="AS19" s="207"/>
      <c r="AT19" s="207"/>
      <c r="AU19" s="207">
        <f>AV19+AY19</f>
        <v>70</v>
      </c>
      <c r="AV19" s="207"/>
      <c r="AW19" s="212"/>
      <c r="AX19" s="207"/>
      <c r="AY19" s="207">
        <f>AZ19+BA19</f>
        <v>70</v>
      </c>
      <c r="AZ19" s="207">
        <v>70</v>
      </c>
      <c r="BA19" s="182"/>
      <c r="BB19" s="186">
        <f t="shared" si="2"/>
        <v>100</v>
      </c>
      <c r="BC19" s="186"/>
      <c r="BD19" s="186">
        <f t="shared" si="3"/>
        <v>100</v>
      </c>
      <c r="BE19" s="182"/>
    </row>
    <row r="20" spans="1:57" ht="33.75" customHeight="1">
      <c r="A20" s="180" t="s">
        <v>260</v>
      </c>
      <c r="B20" s="127" t="s">
        <v>292</v>
      </c>
      <c r="C20" s="181"/>
      <c r="D20" s="181"/>
      <c r="E20" s="181"/>
      <c r="F20" s="182"/>
      <c r="G20" s="182"/>
      <c r="H20" s="182"/>
      <c r="I20" s="182"/>
      <c r="J20" s="182"/>
      <c r="K20" s="182"/>
      <c r="L20" s="182"/>
      <c r="M20" s="183"/>
      <c r="N20" s="184"/>
      <c r="O20" s="185"/>
      <c r="P20" s="182"/>
      <c r="Q20" s="182"/>
      <c r="R20" s="182"/>
      <c r="S20" s="128"/>
      <c r="T20" s="128"/>
      <c r="U20" s="126"/>
      <c r="V20" s="128"/>
      <c r="W20" s="128"/>
      <c r="X20" s="128"/>
      <c r="Y20" s="128"/>
      <c r="Z20" s="126"/>
      <c r="AA20" s="128"/>
      <c r="AB20" s="128"/>
      <c r="AC20" s="128"/>
      <c r="AD20" s="207">
        <f>AE20+AH20</f>
        <v>5530</v>
      </c>
      <c r="AE20" s="207">
        <f>AF20+AG20</f>
        <v>5530</v>
      </c>
      <c r="AF20" s="212">
        <f>5530</f>
        <v>5530</v>
      </c>
      <c r="AG20" s="207"/>
      <c r="AH20" s="207">
        <f>AI20</f>
        <v>0</v>
      </c>
      <c r="AI20" s="207"/>
      <c r="AJ20" s="207"/>
      <c r="AK20" s="207"/>
      <c r="AL20" s="212"/>
      <c r="AM20" s="207"/>
      <c r="AN20" s="207"/>
      <c r="AO20" s="207"/>
      <c r="AP20" s="207"/>
      <c r="AQ20" s="207"/>
      <c r="AR20" s="207"/>
      <c r="AS20" s="207"/>
      <c r="AT20" s="207"/>
      <c r="AU20" s="207">
        <f>AV20+AY20</f>
        <v>0</v>
      </c>
      <c r="AV20" s="207"/>
      <c r="AW20" s="212"/>
      <c r="AX20" s="207"/>
      <c r="AY20" s="207"/>
      <c r="AZ20" s="207"/>
      <c r="BA20" s="182"/>
      <c r="BB20" s="186">
        <f>AU20/(AD20+M20)*100</f>
        <v>0</v>
      </c>
      <c r="BC20" s="186"/>
      <c r="BD20" s="186"/>
      <c r="BE20" s="182"/>
    </row>
    <row r="21" spans="1:57" s="51" customFormat="1" ht="33" customHeight="1">
      <c r="A21" s="187" t="s">
        <v>55</v>
      </c>
      <c r="B21" s="188" t="s">
        <v>254</v>
      </c>
      <c r="C21" s="189">
        <f>SUM(C22:C41)</f>
        <v>0</v>
      </c>
      <c r="D21" s="189">
        <f>SUM(D22:D41)</f>
        <v>0</v>
      </c>
      <c r="E21" s="189">
        <f>SUM(E22:E41)</f>
        <v>0</v>
      </c>
      <c r="F21" s="190"/>
      <c r="G21" s="190"/>
      <c r="H21" s="190"/>
      <c r="I21" s="190"/>
      <c r="J21" s="190"/>
      <c r="K21" s="190"/>
      <c r="L21" s="190"/>
      <c r="M21" s="191">
        <f aca="true" t="shared" si="6" ref="M21:AC21">SUM(M22:M41)</f>
        <v>0</v>
      </c>
      <c r="N21" s="189">
        <f t="shared" si="6"/>
        <v>0</v>
      </c>
      <c r="O21" s="189">
        <f t="shared" si="6"/>
        <v>0</v>
      </c>
      <c r="P21" s="189">
        <f t="shared" si="6"/>
        <v>0</v>
      </c>
      <c r="Q21" s="189">
        <f t="shared" si="6"/>
        <v>0</v>
      </c>
      <c r="R21" s="189">
        <f t="shared" si="6"/>
        <v>0</v>
      </c>
      <c r="S21" s="192">
        <f t="shared" si="6"/>
        <v>0</v>
      </c>
      <c r="T21" s="192">
        <f t="shared" si="6"/>
        <v>13099.615999999998</v>
      </c>
      <c r="U21" s="192">
        <f t="shared" si="6"/>
        <v>8550.586</v>
      </c>
      <c r="V21" s="192">
        <f t="shared" si="6"/>
        <v>4549.03</v>
      </c>
      <c r="W21" s="192">
        <f t="shared" si="6"/>
        <v>0</v>
      </c>
      <c r="X21" s="192">
        <f t="shared" si="6"/>
        <v>0</v>
      </c>
      <c r="Y21" s="192">
        <f t="shared" si="6"/>
        <v>0</v>
      </c>
      <c r="Z21" s="192">
        <f t="shared" si="6"/>
        <v>0</v>
      </c>
      <c r="AA21" s="192">
        <f t="shared" si="6"/>
        <v>0</v>
      </c>
      <c r="AB21" s="192">
        <f t="shared" si="6"/>
        <v>0</v>
      </c>
      <c r="AC21" s="192">
        <f t="shared" si="6"/>
        <v>0</v>
      </c>
      <c r="AD21" s="208">
        <f>SUM(AD22:AD41)</f>
        <v>13129.029999999999</v>
      </c>
      <c r="AE21" s="208">
        <f aca="true" t="shared" si="7" ref="AE21:BA21">SUM(AE22:AE41)</f>
        <v>8580</v>
      </c>
      <c r="AF21" s="208">
        <f t="shared" si="7"/>
        <v>8580</v>
      </c>
      <c r="AG21" s="208">
        <f t="shared" si="7"/>
        <v>0</v>
      </c>
      <c r="AH21" s="208">
        <f t="shared" si="7"/>
        <v>4549.03</v>
      </c>
      <c r="AI21" s="208">
        <f t="shared" si="7"/>
        <v>4549.03</v>
      </c>
      <c r="AJ21" s="208">
        <f t="shared" si="7"/>
        <v>0</v>
      </c>
      <c r="AK21" s="208">
        <f t="shared" si="7"/>
        <v>0</v>
      </c>
      <c r="AL21" s="208">
        <f t="shared" si="7"/>
        <v>0</v>
      </c>
      <c r="AM21" s="208">
        <f t="shared" si="7"/>
        <v>0</v>
      </c>
      <c r="AN21" s="208">
        <f t="shared" si="7"/>
        <v>0</v>
      </c>
      <c r="AO21" s="208">
        <f t="shared" si="7"/>
        <v>0</v>
      </c>
      <c r="AP21" s="208">
        <f t="shared" si="7"/>
        <v>0</v>
      </c>
      <c r="AQ21" s="208">
        <f t="shared" si="7"/>
        <v>0</v>
      </c>
      <c r="AR21" s="208">
        <f t="shared" si="7"/>
        <v>0</v>
      </c>
      <c r="AS21" s="208">
        <f t="shared" si="7"/>
        <v>0</v>
      </c>
      <c r="AT21" s="208">
        <f t="shared" si="7"/>
        <v>0</v>
      </c>
      <c r="AU21" s="208">
        <f t="shared" si="7"/>
        <v>13099.615999999998</v>
      </c>
      <c r="AV21" s="208">
        <f t="shared" si="7"/>
        <v>8550.586</v>
      </c>
      <c r="AW21" s="208">
        <f t="shared" si="7"/>
        <v>8550.586</v>
      </c>
      <c r="AX21" s="208">
        <f t="shared" si="7"/>
        <v>0</v>
      </c>
      <c r="AY21" s="208">
        <f t="shared" si="7"/>
        <v>4549.03</v>
      </c>
      <c r="AZ21" s="208">
        <f t="shared" si="7"/>
        <v>4549.03</v>
      </c>
      <c r="BA21" s="189">
        <f t="shared" si="7"/>
        <v>0</v>
      </c>
      <c r="BB21" s="186">
        <f t="shared" si="2"/>
        <v>99.77596212362985</v>
      </c>
      <c r="BC21" s="186">
        <f>AW21/AF21*100</f>
        <v>99.65717948717948</v>
      </c>
      <c r="BD21" s="186">
        <f t="shared" si="3"/>
        <v>100</v>
      </c>
      <c r="BE21" s="189">
        <f>SUM(BN22:BN41)</f>
        <v>0</v>
      </c>
    </row>
    <row r="22" spans="1:57" s="72" customFormat="1" ht="15.75">
      <c r="A22" s="355">
        <v>1</v>
      </c>
      <c r="B22" s="193" t="s">
        <v>228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3">
        <f>+N22+Q22</f>
        <v>0</v>
      </c>
      <c r="N22" s="186">
        <f>+O22+P22</f>
        <v>0</v>
      </c>
      <c r="O22" s="186"/>
      <c r="P22" s="186"/>
      <c r="Q22" s="186">
        <f>+R22+S22</f>
        <v>0</v>
      </c>
      <c r="R22" s="186">
        <v>0</v>
      </c>
      <c r="S22" s="128"/>
      <c r="T22" s="128">
        <f>+U22+V22</f>
        <v>1039.88</v>
      </c>
      <c r="U22" s="128">
        <f aca="true" t="shared" si="8" ref="U22:U40">+AV22</f>
        <v>660</v>
      </c>
      <c r="V22" s="128">
        <f aca="true" t="shared" si="9" ref="V22:V40">+AY22</f>
        <v>379.88</v>
      </c>
      <c r="W22" s="194"/>
      <c r="X22" s="194"/>
      <c r="Y22" s="194"/>
      <c r="Z22" s="194"/>
      <c r="AA22" s="194"/>
      <c r="AB22" s="194"/>
      <c r="AC22" s="194"/>
      <c r="AD22" s="207">
        <f>AE22+AH22</f>
        <v>1039.88</v>
      </c>
      <c r="AE22" s="207">
        <f>AF22+AG22</f>
        <v>660</v>
      </c>
      <c r="AF22" s="211">
        <v>660</v>
      </c>
      <c r="AG22" s="207"/>
      <c r="AH22" s="207">
        <f>+AI22+AJ22</f>
        <v>379.88</v>
      </c>
      <c r="AI22" s="207">
        <v>379.88</v>
      </c>
      <c r="AJ22" s="207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07">
        <f>AV22+AY22</f>
        <v>1039.88</v>
      </c>
      <c r="AV22" s="207">
        <f>AW22</f>
        <v>660</v>
      </c>
      <c r="AW22" s="207">
        <f>AE22</f>
        <v>660</v>
      </c>
      <c r="AX22" s="207"/>
      <c r="AY22" s="207">
        <f>AZ22</f>
        <v>379.88</v>
      </c>
      <c r="AZ22" s="207">
        <f>AI22</f>
        <v>379.88</v>
      </c>
      <c r="BA22" s="186"/>
      <c r="BB22" s="186">
        <f t="shared" si="2"/>
        <v>100</v>
      </c>
      <c r="BC22" s="186">
        <f>AW22/AF22*100</f>
        <v>100</v>
      </c>
      <c r="BD22" s="186">
        <f t="shared" si="3"/>
        <v>100</v>
      </c>
      <c r="BE22" s="205"/>
    </row>
    <row r="23" spans="1:57" s="72" customFormat="1" ht="15.75">
      <c r="A23" s="355">
        <v>2</v>
      </c>
      <c r="B23" s="193" t="s">
        <v>224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3">
        <f aca="true" t="shared" si="10" ref="M23:M41">+N23+Q23</f>
        <v>0</v>
      </c>
      <c r="N23" s="186">
        <f aca="true" t="shared" si="11" ref="N23:N41">+O23+P23</f>
        <v>0</v>
      </c>
      <c r="O23" s="186">
        <v>0</v>
      </c>
      <c r="P23" s="186"/>
      <c r="Q23" s="186">
        <f aca="true" t="shared" si="12" ref="Q23:Q41">+R23+S23</f>
        <v>0</v>
      </c>
      <c r="R23" s="186"/>
      <c r="S23" s="128"/>
      <c r="T23" s="128">
        <f aca="true" t="shared" si="13" ref="T23:T41">+U23+V23</f>
        <v>770</v>
      </c>
      <c r="U23" s="128">
        <f t="shared" si="8"/>
        <v>660</v>
      </c>
      <c r="V23" s="128">
        <f t="shared" si="9"/>
        <v>110</v>
      </c>
      <c r="W23" s="194"/>
      <c r="X23" s="194"/>
      <c r="Y23" s="194"/>
      <c r="Z23" s="194"/>
      <c r="AA23" s="194"/>
      <c r="AB23" s="194"/>
      <c r="AC23" s="194"/>
      <c r="AD23" s="207">
        <f aca="true" t="shared" si="14" ref="AD23:AD41">AE23+AH23</f>
        <v>770</v>
      </c>
      <c r="AE23" s="207">
        <f aca="true" t="shared" si="15" ref="AE23:AE41">AF23+AG23</f>
        <v>660</v>
      </c>
      <c r="AF23" s="211">
        <v>660</v>
      </c>
      <c r="AG23" s="207"/>
      <c r="AH23" s="207">
        <f aca="true" t="shared" si="16" ref="AH23:AH41">+AI23+AJ23</f>
        <v>110</v>
      </c>
      <c r="AI23" s="207">
        <v>110</v>
      </c>
      <c r="AJ23" s="207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07">
        <f aca="true" t="shared" si="17" ref="AU23:AU41">AV23+AY23</f>
        <v>770</v>
      </c>
      <c r="AV23" s="207">
        <f aca="true" t="shared" si="18" ref="AV23:AV41">AW23</f>
        <v>660</v>
      </c>
      <c r="AW23" s="207">
        <f aca="true" t="shared" si="19" ref="AW23:AW41">AE23</f>
        <v>660</v>
      </c>
      <c r="AX23" s="207"/>
      <c r="AY23" s="207">
        <f aca="true" t="shared" si="20" ref="AY23:AY41">AZ23</f>
        <v>110</v>
      </c>
      <c r="AZ23" s="207">
        <f aca="true" t="shared" si="21" ref="AZ23:AZ41">AI23</f>
        <v>110</v>
      </c>
      <c r="BA23" s="186"/>
      <c r="BB23" s="186">
        <f aca="true" t="shared" si="22" ref="BB23:BB39">AU23/(AD23+M23)*100</f>
        <v>100</v>
      </c>
      <c r="BC23" s="186">
        <f aca="true" t="shared" si="23" ref="BC23:BC39">AW23/AF23*100</f>
        <v>100</v>
      </c>
      <c r="BD23" s="186">
        <f aca="true" t="shared" si="24" ref="BD23:BD39">AZ23/AI23*100</f>
        <v>100</v>
      </c>
      <c r="BE23" s="205"/>
    </row>
    <row r="24" spans="1:57" s="72" customFormat="1" ht="15.75">
      <c r="A24" s="355">
        <v>3</v>
      </c>
      <c r="B24" s="193" t="s">
        <v>229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3">
        <f t="shared" si="10"/>
        <v>0</v>
      </c>
      <c r="N24" s="186">
        <f t="shared" si="11"/>
        <v>0</v>
      </c>
      <c r="O24" s="186">
        <v>0</v>
      </c>
      <c r="P24" s="186"/>
      <c r="Q24" s="186">
        <f t="shared" si="12"/>
        <v>0</v>
      </c>
      <c r="R24" s="186">
        <v>0</v>
      </c>
      <c r="S24" s="128"/>
      <c r="T24" s="128">
        <f t="shared" si="13"/>
        <v>929.953</v>
      </c>
      <c r="U24" s="128">
        <f t="shared" si="8"/>
        <v>660</v>
      </c>
      <c r="V24" s="128">
        <f t="shared" si="9"/>
        <v>269.953</v>
      </c>
      <c r="W24" s="194"/>
      <c r="X24" s="194"/>
      <c r="Y24" s="194"/>
      <c r="Z24" s="194"/>
      <c r="AA24" s="194"/>
      <c r="AB24" s="194"/>
      <c r="AC24" s="194"/>
      <c r="AD24" s="207">
        <f t="shared" si="14"/>
        <v>929.953</v>
      </c>
      <c r="AE24" s="207">
        <f t="shared" si="15"/>
        <v>660</v>
      </c>
      <c r="AF24" s="211">
        <v>660</v>
      </c>
      <c r="AG24" s="207"/>
      <c r="AH24" s="207">
        <f t="shared" si="16"/>
        <v>269.953</v>
      </c>
      <c r="AI24" s="207">
        <v>269.953</v>
      </c>
      <c r="AJ24" s="207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07">
        <f t="shared" si="17"/>
        <v>929.953</v>
      </c>
      <c r="AV24" s="207">
        <f t="shared" si="18"/>
        <v>660</v>
      </c>
      <c r="AW24" s="207">
        <f t="shared" si="19"/>
        <v>660</v>
      </c>
      <c r="AX24" s="207"/>
      <c r="AY24" s="207">
        <f t="shared" si="20"/>
        <v>269.953</v>
      </c>
      <c r="AZ24" s="207">
        <f t="shared" si="21"/>
        <v>269.953</v>
      </c>
      <c r="BA24" s="186"/>
      <c r="BB24" s="186">
        <f t="shared" si="22"/>
        <v>100</v>
      </c>
      <c r="BC24" s="186">
        <f t="shared" si="23"/>
        <v>100</v>
      </c>
      <c r="BD24" s="186">
        <f t="shared" si="24"/>
        <v>100</v>
      </c>
      <c r="BE24" s="205"/>
    </row>
    <row r="25" spans="1:57" s="72" customFormat="1" ht="15.75">
      <c r="A25" s="355">
        <v>4</v>
      </c>
      <c r="B25" s="193" t="s">
        <v>230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3">
        <f t="shared" si="10"/>
        <v>0</v>
      </c>
      <c r="N25" s="186">
        <f t="shared" si="11"/>
        <v>0</v>
      </c>
      <c r="O25" s="186">
        <v>0</v>
      </c>
      <c r="P25" s="186"/>
      <c r="Q25" s="186">
        <f t="shared" si="12"/>
        <v>0</v>
      </c>
      <c r="R25" s="186">
        <v>0</v>
      </c>
      <c r="S25" s="128"/>
      <c r="T25" s="128">
        <f t="shared" si="13"/>
        <v>0</v>
      </c>
      <c r="U25" s="128">
        <f t="shared" si="8"/>
        <v>0</v>
      </c>
      <c r="V25" s="128">
        <f t="shared" si="9"/>
        <v>0</v>
      </c>
      <c r="W25" s="194"/>
      <c r="X25" s="194"/>
      <c r="Y25" s="194"/>
      <c r="Z25" s="194"/>
      <c r="AA25" s="194"/>
      <c r="AB25" s="194"/>
      <c r="AC25" s="194"/>
      <c r="AD25" s="207">
        <f t="shared" si="14"/>
        <v>0</v>
      </c>
      <c r="AE25" s="207">
        <f t="shared" si="15"/>
        <v>0</v>
      </c>
      <c r="AF25" s="211"/>
      <c r="AG25" s="207"/>
      <c r="AH25" s="207">
        <f t="shared" si="16"/>
        <v>0</v>
      </c>
      <c r="AI25" s="207">
        <v>0</v>
      </c>
      <c r="AJ25" s="207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07">
        <f t="shared" si="17"/>
        <v>0</v>
      </c>
      <c r="AV25" s="207">
        <f t="shared" si="18"/>
        <v>0</v>
      </c>
      <c r="AW25" s="207">
        <f t="shared" si="19"/>
        <v>0</v>
      </c>
      <c r="AX25" s="207"/>
      <c r="AY25" s="207">
        <f t="shared" si="20"/>
        <v>0</v>
      </c>
      <c r="AZ25" s="207">
        <f t="shared" si="21"/>
        <v>0</v>
      </c>
      <c r="BA25" s="186"/>
      <c r="BB25" s="186"/>
      <c r="BC25" s="186"/>
      <c r="BD25" s="186"/>
      <c r="BE25" s="205"/>
    </row>
    <row r="26" spans="1:57" s="72" customFormat="1" ht="15.75">
      <c r="A26" s="355">
        <v>5</v>
      </c>
      <c r="B26" s="193" t="s">
        <v>226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3">
        <f t="shared" si="10"/>
        <v>0</v>
      </c>
      <c r="N26" s="186">
        <f t="shared" si="11"/>
        <v>0</v>
      </c>
      <c r="O26" s="186">
        <v>0</v>
      </c>
      <c r="P26" s="186"/>
      <c r="Q26" s="186">
        <f t="shared" si="12"/>
        <v>0</v>
      </c>
      <c r="R26" s="186">
        <v>0</v>
      </c>
      <c r="S26" s="128"/>
      <c r="T26" s="128">
        <f t="shared" si="13"/>
        <v>0</v>
      </c>
      <c r="U26" s="128">
        <f t="shared" si="8"/>
        <v>0</v>
      </c>
      <c r="V26" s="128">
        <f t="shared" si="9"/>
        <v>0</v>
      </c>
      <c r="W26" s="194"/>
      <c r="X26" s="194"/>
      <c r="Y26" s="194"/>
      <c r="Z26" s="194"/>
      <c r="AA26" s="194"/>
      <c r="AB26" s="194"/>
      <c r="AC26" s="194"/>
      <c r="AD26" s="207">
        <f t="shared" si="14"/>
        <v>0</v>
      </c>
      <c r="AE26" s="207">
        <f t="shared" si="15"/>
        <v>0</v>
      </c>
      <c r="AF26" s="211"/>
      <c r="AG26" s="207"/>
      <c r="AH26" s="207">
        <f t="shared" si="16"/>
        <v>0</v>
      </c>
      <c r="AI26" s="207">
        <v>0</v>
      </c>
      <c r="AJ26" s="207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07">
        <f t="shared" si="17"/>
        <v>0</v>
      </c>
      <c r="AV26" s="207">
        <f t="shared" si="18"/>
        <v>0</v>
      </c>
      <c r="AW26" s="207">
        <f t="shared" si="19"/>
        <v>0</v>
      </c>
      <c r="AX26" s="207"/>
      <c r="AY26" s="207">
        <f t="shared" si="20"/>
        <v>0</v>
      </c>
      <c r="AZ26" s="207">
        <f t="shared" si="21"/>
        <v>0</v>
      </c>
      <c r="BA26" s="186"/>
      <c r="BB26" s="186"/>
      <c r="BC26" s="186"/>
      <c r="BD26" s="186"/>
      <c r="BE26" s="205"/>
    </row>
    <row r="27" spans="1:57" s="72" customFormat="1" ht="15.75">
      <c r="A27" s="355">
        <v>6</v>
      </c>
      <c r="B27" s="193" t="s">
        <v>231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3">
        <f t="shared" si="10"/>
        <v>0</v>
      </c>
      <c r="N27" s="186">
        <f t="shared" si="11"/>
        <v>0</v>
      </c>
      <c r="O27" s="186">
        <v>0</v>
      </c>
      <c r="P27" s="186"/>
      <c r="Q27" s="186">
        <f t="shared" si="12"/>
        <v>0</v>
      </c>
      <c r="R27" s="186">
        <v>0</v>
      </c>
      <c r="S27" s="128"/>
      <c r="T27" s="128">
        <f t="shared" si="13"/>
        <v>0</v>
      </c>
      <c r="U27" s="128">
        <f t="shared" si="8"/>
        <v>0</v>
      </c>
      <c r="V27" s="128">
        <f t="shared" si="9"/>
        <v>0</v>
      </c>
      <c r="W27" s="194"/>
      <c r="X27" s="194"/>
      <c r="Y27" s="194"/>
      <c r="Z27" s="194"/>
      <c r="AA27" s="194"/>
      <c r="AB27" s="194"/>
      <c r="AC27" s="194"/>
      <c r="AD27" s="207">
        <f t="shared" si="14"/>
        <v>0</v>
      </c>
      <c r="AE27" s="207">
        <f t="shared" si="15"/>
        <v>0</v>
      </c>
      <c r="AF27" s="211"/>
      <c r="AG27" s="207"/>
      <c r="AH27" s="207">
        <f t="shared" si="16"/>
        <v>0</v>
      </c>
      <c r="AI27" s="207">
        <v>0</v>
      </c>
      <c r="AJ27" s="207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07">
        <f t="shared" si="17"/>
        <v>0</v>
      </c>
      <c r="AV27" s="207">
        <f t="shared" si="18"/>
        <v>0</v>
      </c>
      <c r="AW27" s="207">
        <f t="shared" si="19"/>
        <v>0</v>
      </c>
      <c r="AX27" s="207"/>
      <c r="AY27" s="207">
        <f t="shared" si="20"/>
        <v>0</v>
      </c>
      <c r="AZ27" s="207">
        <f t="shared" si="21"/>
        <v>0</v>
      </c>
      <c r="BA27" s="186"/>
      <c r="BB27" s="186"/>
      <c r="BC27" s="186"/>
      <c r="BD27" s="186"/>
      <c r="BE27" s="205"/>
    </row>
    <row r="28" spans="1:57" s="72" customFormat="1" ht="15.75">
      <c r="A28" s="355">
        <v>7</v>
      </c>
      <c r="B28" s="193" t="s">
        <v>232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3">
        <f t="shared" si="10"/>
        <v>0</v>
      </c>
      <c r="N28" s="186">
        <f t="shared" si="11"/>
        <v>0</v>
      </c>
      <c r="O28" s="186">
        <v>0</v>
      </c>
      <c r="P28" s="186"/>
      <c r="Q28" s="186">
        <f t="shared" si="12"/>
        <v>0</v>
      </c>
      <c r="R28" s="186">
        <v>0</v>
      </c>
      <c r="S28" s="128"/>
      <c r="T28" s="128">
        <f t="shared" si="13"/>
        <v>770</v>
      </c>
      <c r="U28" s="128">
        <f t="shared" si="8"/>
        <v>660</v>
      </c>
      <c r="V28" s="128">
        <f t="shared" si="9"/>
        <v>110</v>
      </c>
      <c r="W28" s="194"/>
      <c r="X28" s="194"/>
      <c r="Y28" s="194"/>
      <c r="Z28" s="194"/>
      <c r="AA28" s="194"/>
      <c r="AB28" s="194"/>
      <c r="AC28" s="194"/>
      <c r="AD28" s="207">
        <f t="shared" si="14"/>
        <v>770</v>
      </c>
      <c r="AE28" s="207">
        <f t="shared" si="15"/>
        <v>660</v>
      </c>
      <c r="AF28" s="211">
        <v>660</v>
      </c>
      <c r="AG28" s="207"/>
      <c r="AH28" s="207">
        <f t="shared" si="16"/>
        <v>110</v>
      </c>
      <c r="AI28" s="207">
        <v>110</v>
      </c>
      <c r="AJ28" s="207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07">
        <f t="shared" si="17"/>
        <v>770</v>
      </c>
      <c r="AV28" s="207">
        <f t="shared" si="18"/>
        <v>660</v>
      </c>
      <c r="AW28" s="207">
        <f t="shared" si="19"/>
        <v>660</v>
      </c>
      <c r="AX28" s="207"/>
      <c r="AY28" s="207">
        <f t="shared" si="20"/>
        <v>110</v>
      </c>
      <c r="AZ28" s="207">
        <f t="shared" si="21"/>
        <v>110</v>
      </c>
      <c r="BA28" s="186"/>
      <c r="BB28" s="186">
        <f t="shared" si="22"/>
        <v>100</v>
      </c>
      <c r="BC28" s="186">
        <f t="shared" si="23"/>
        <v>100</v>
      </c>
      <c r="BD28" s="186">
        <f t="shared" si="24"/>
        <v>100</v>
      </c>
      <c r="BE28" s="205"/>
    </row>
    <row r="29" spans="1:57" s="72" customFormat="1" ht="15.75">
      <c r="A29" s="355">
        <v>8</v>
      </c>
      <c r="B29" s="193" t="s">
        <v>233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3">
        <f t="shared" si="10"/>
        <v>0</v>
      </c>
      <c r="N29" s="186">
        <f t="shared" si="11"/>
        <v>0</v>
      </c>
      <c r="O29" s="186">
        <v>0</v>
      </c>
      <c r="P29" s="186"/>
      <c r="Q29" s="186">
        <f t="shared" si="12"/>
        <v>0</v>
      </c>
      <c r="R29" s="186">
        <v>0</v>
      </c>
      <c r="S29" s="128"/>
      <c r="T29" s="128">
        <f t="shared" si="13"/>
        <v>740.586</v>
      </c>
      <c r="U29" s="128">
        <f t="shared" si="8"/>
        <v>630.586</v>
      </c>
      <c r="V29" s="128">
        <f t="shared" si="9"/>
        <v>110</v>
      </c>
      <c r="W29" s="194"/>
      <c r="X29" s="194"/>
      <c r="Y29" s="194"/>
      <c r="Z29" s="194"/>
      <c r="AA29" s="194"/>
      <c r="AB29" s="194"/>
      <c r="AC29" s="194"/>
      <c r="AD29" s="207">
        <f t="shared" si="14"/>
        <v>770</v>
      </c>
      <c r="AE29" s="207">
        <f t="shared" si="15"/>
        <v>660</v>
      </c>
      <c r="AF29" s="211">
        <v>660</v>
      </c>
      <c r="AG29" s="207"/>
      <c r="AH29" s="207">
        <f t="shared" si="16"/>
        <v>110</v>
      </c>
      <c r="AI29" s="207">
        <v>110</v>
      </c>
      <c r="AJ29" s="207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07">
        <f t="shared" si="17"/>
        <v>740.586</v>
      </c>
      <c r="AV29" s="207">
        <f t="shared" si="18"/>
        <v>630.586</v>
      </c>
      <c r="AW29" s="207">
        <f>AE29-29.414</f>
        <v>630.586</v>
      </c>
      <c r="AX29" s="207"/>
      <c r="AY29" s="207">
        <f t="shared" si="20"/>
        <v>110</v>
      </c>
      <c r="AZ29" s="207">
        <f>AI29</f>
        <v>110</v>
      </c>
      <c r="BA29" s="186"/>
      <c r="BB29" s="186">
        <f t="shared" si="22"/>
        <v>96.17999999999999</v>
      </c>
      <c r="BC29" s="186">
        <f t="shared" si="23"/>
        <v>95.54333333333334</v>
      </c>
      <c r="BD29" s="186">
        <f t="shared" si="24"/>
        <v>100</v>
      </c>
      <c r="BE29" s="205"/>
    </row>
    <row r="30" spans="1:57" s="72" customFormat="1" ht="15.75">
      <c r="A30" s="355">
        <v>9</v>
      </c>
      <c r="B30" s="193" t="s">
        <v>234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3">
        <f t="shared" si="10"/>
        <v>0</v>
      </c>
      <c r="N30" s="186">
        <f t="shared" si="11"/>
        <v>0</v>
      </c>
      <c r="O30" s="186">
        <v>0</v>
      </c>
      <c r="P30" s="186"/>
      <c r="Q30" s="186">
        <f t="shared" si="12"/>
        <v>0</v>
      </c>
      <c r="R30" s="186">
        <v>0</v>
      </c>
      <c r="S30" s="128"/>
      <c r="T30" s="128">
        <f t="shared" si="13"/>
        <v>770</v>
      </c>
      <c r="U30" s="128">
        <f t="shared" si="8"/>
        <v>660</v>
      </c>
      <c r="V30" s="128">
        <f t="shared" si="9"/>
        <v>110</v>
      </c>
      <c r="W30" s="194"/>
      <c r="X30" s="194"/>
      <c r="Y30" s="194"/>
      <c r="Z30" s="194"/>
      <c r="AA30" s="194"/>
      <c r="AB30" s="194"/>
      <c r="AC30" s="194"/>
      <c r="AD30" s="207">
        <f t="shared" si="14"/>
        <v>770</v>
      </c>
      <c r="AE30" s="207">
        <f t="shared" si="15"/>
        <v>660</v>
      </c>
      <c r="AF30" s="211">
        <v>660</v>
      </c>
      <c r="AG30" s="207"/>
      <c r="AH30" s="207">
        <f t="shared" si="16"/>
        <v>110</v>
      </c>
      <c r="AI30" s="207">
        <v>110</v>
      </c>
      <c r="AJ30" s="207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07">
        <f t="shared" si="17"/>
        <v>770</v>
      </c>
      <c r="AV30" s="207">
        <f t="shared" si="18"/>
        <v>660</v>
      </c>
      <c r="AW30" s="207">
        <f t="shared" si="19"/>
        <v>660</v>
      </c>
      <c r="AX30" s="207"/>
      <c r="AY30" s="207">
        <f t="shared" si="20"/>
        <v>110</v>
      </c>
      <c r="AZ30" s="207">
        <f t="shared" si="21"/>
        <v>110</v>
      </c>
      <c r="BA30" s="186"/>
      <c r="BB30" s="186">
        <f t="shared" si="22"/>
        <v>100</v>
      </c>
      <c r="BC30" s="186">
        <f t="shared" si="23"/>
        <v>100</v>
      </c>
      <c r="BD30" s="186">
        <f t="shared" si="24"/>
        <v>100</v>
      </c>
      <c r="BE30" s="205"/>
    </row>
    <row r="31" spans="1:57" s="72" customFormat="1" ht="15.75">
      <c r="A31" s="355">
        <v>10</v>
      </c>
      <c r="B31" s="193" t="s">
        <v>235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3">
        <f t="shared" si="10"/>
        <v>0</v>
      </c>
      <c r="N31" s="186">
        <f t="shared" si="11"/>
        <v>0</v>
      </c>
      <c r="O31" s="186">
        <v>0</v>
      </c>
      <c r="P31" s="186"/>
      <c r="Q31" s="186">
        <f t="shared" si="12"/>
        <v>0</v>
      </c>
      <c r="R31" s="186">
        <v>0</v>
      </c>
      <c r="S31" s="128"/>
      <c r="T31" s="128">
        <f t="shared" si="13"/>
        <v>0</v>
      </c>
      <c r="U31" s="128">
        <f t="shared" si="8"/>
        <v>0</v>
      </c>
      <c r="V31" s="128">
        <f t="shared" si="9"/>
        <v>0</v>
      </c>
      <c r="W31" s="194"/>
      <c r="X31" s="194"/>
      <c r="Y31" s="194"/>
      <c r="Z31" s="194"/>
      <c r="AA31" s="194"/>
      <c r="AB31" s="194"/>
      <c r="AC31" s="194"/>
      <c r="AD31" s="207">
        <f t="shared" si="14"/>
        <v>0</v>
      </c>
      <c r="AE31" s="207">
        <f t="shared" si="15"/>
        <v>0</v>
      </c>
      <c r="AF31" s="211"/>
      <c r="AG31" s="207"/>
      <c r="AH31" s="207">
        <f t="shared" si="16"/>
        <v>0</v>
      </c>
      <c r="AI31" s="207">
        <v>0</v>
      </c>
      <c r="AJ31" s="207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07">
        <f t="shared" si="17"/>
        <v>0</v>
      </c>
      <c r="AV31" s="207">
        <f t="shared" si="18"/>
        <v>0</v>
      </c>
      <c r="AW31" s="207">
        <f t="shared" si="19"/>
        <v>0</v>
      </c>
      <c r="AX31" s="207"/>
      <c r="AY31" s="207">
        <f t="shared" si="20"/>
        <v>0</v>
      </c>
      <c r="AZ31" s="207">
        <f t="shared" si="21"/>
        <v>0</v>
      </c>
      <c r="BA31" s="186"/>
      <c r="BB31" s="186"/>
      <c r="BC31" s="186"/>
      <c r="BD31" s="186"/>
      <c r="BE31" s="205"/>
    </row>
    <row r="32" spans="1:57" s="72" customFormat="1" ht="15.75">
      <c r="A32" s="355">
        <v>11</v>
      </c>
      <c r="B32" s="193" t="s">
        <v>236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3">
        <f t="shared" si="10"/>
        <v>0</v>
      </c>
      <c r="N32" s="186">
        <f t="shared" si="11"/>
        <v>0</v>
      </c>
      <c r="O32" s="186"/>
      <c r="P32" s="186"/>
      <c r="Q32" s="186">
        <f t="shared" si="12"/>
        <v>0</v>
      </c>
      <c r="R32" s="186">
        <v>0</v>
      </c>
      <c r="S32" s="128"/>
      <c r="T32" s="128">
        <f t="shared" si="13"/>
        <v>956.955</v>
      </c>
      <c r="U32" s="128">
        <f t="shared" si="8"/>
        <v>660</v>
      </c>
      <c r="V32" s="128">
        <f t="shared" si="9"/>
        <v>296.95500000000004</v>
      </c>
      <c r="W32" s="194"/>
      <c r="X32" s="194"/>
      <c r="Y32" s="194"/>
      <c r="Z32" s="194"/>
      <c r="AA32" s="194"/>
      <c r="AB32" s="194"/>
      <c r="AC32" s="194"/>
      <c r="AD32" s="207">
        <f t="shared" si="14"/>
        <v>956.955</v>
      </c>
      <c r="AE32" s="207">
        <f t="shared" si="15"/>
        <v>660</v>
      </c>
      <c r="AF32" s="211">
        <v>660</v>
      </c>
      <c r="AG32" s="207"/>
      <c r="AH32" s="207">
        <f t="shared" si="16"/>
        <v>296.95500000000004</v>
      </c>
      <c r="AI32" s="207">
        <v>296.95500000000004</v>
      </c>
      <c r="AJ32" s="207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07">
        <f t="shared" si="17"/>
        <v>956.955</v>
      </c>
      <c r="AV32" s="207">
        <f t="shared" si="18"/>
        <v>660</v>
      </c>
      <c r="AW32" s="207">
        <f t="shared" si="19"/>
        <v>660</v>
      </c>
      <c r="AX32" s="207"/>
      <c r="AY32" s="207">
        <f t="shared" si="20"/>
        <v>296.95500000000004</v>
      </c>
      <c r="AZ32" s="207">
        <f>AI32</f>
        <v>296.95500000000004</v>
      </c>
      <c r="BA32" s="186"/>
      <c r="BB32" s="186">
        <f t="shared" si="22"/>
        <v>100</v>
      </c>
      <c r="BC32" s="186">
        <f t="shared" si="23"/>
        <v>100</v>
      </c>
      <c r="BD32" s="186">
        <f t="shared" si="24"/>
        <v>100</v>
      </c>
      <c r="BE32" s="205"/>
    </row>
    <row r="33" spans="1:57" s="72" customFormat="1" ht="15.75">
      <c r="A33" s="355">
        <v>12</v>
      </c>
      <c r="B33" s="193" t="s">
        <v>237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3">
        <f t="shared" si="10"/>
        <v>0</v>
      </c>
      <c r="N33" s="186">
        <f t="shared" si="11"/>
        <v>0</v>
      </c>
      <c r="O33" s="186">
        <v>0</v>
      </c>
      <c r="P33" s="186"/>
      <c r="Q33" s="186">
        <f t="shared" si="12"/>
        <v>0</v>
      </c>
      <c r="R33" s="186">
        <v>0</v>
      </c>
      <c r="S33" s="128"/>
      <c r="T33" s="128">
        <f t="shared" si="13"/>
        <v>1450.085</v>
      </c>
      <c r="U33" s="128">
        <f t="shared" si="8"/>
        <v>660</v>
      </c>
      <c r="V33" s="128">
        <f t="shared" si="9"/>
        <v>790.085</v>
      </c>
      <c r="W33" s="194"/>
      <c r="X33" s="194"/>
      <c r="Y33" s="194"/>
      <c r="Z33" s="194"/>
      <c r="AA33" s="194"/>
      <c r="AB33" s="194"/>
      <c r="AC33" s="194"/>
      <c r="AD33" s="207">
        <f t="shared" si="14"/>
        <v>1450.085</v>
      </c>
      <c r="AE33" s="207">
        <f t="shared" si="15"/>
        <v>660</v>
      </c>
      <c r="AF33" s="211">
        <v>660</v>
      </c>
      <c r="AG33" s="207"/>
      <c r="AH33" s="207">
        <f t="shared" si="16"/>
        <v>790.085</v>
      </c>
      <c r="AI33" s="207">
        <v>790.085</v>
      </c>
      <c r="AJ33" s="207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07">
        <f t="shared" si="17"/>
        <v>1450.085</v>
      </c>
      <c r="AV33" s="207">
        <f t="shared" si="18"/>
        <v>660</v>
      </c>
      <c r="AW33" s="207">
        <f t="shared" si="19"/>
        <v>660</v>
      </c>
      <c r="AX33" s="207"/>
      <c r="AY33" s="207">
        <f t="shared" si="20"/>
        <v>790.085</v>
      </c>
      <c r="AZ33" s="207">
        <f t="shared" si="21"/>
        <v>790.085</v>
      </c>
      <c r="BA33" s="186"/>
      <c r="BB33" s="186">
        <f t="shared" si="22"/>
        <v>100</v>
      </c>
      <c r="BC33" s="186">
        <f t="shared" si="23"/>
        <v>100</v>
      </c>
      <c r="BD33" s="186">
        <f t="shared" si="24"/>
        <v>100</v>
      </c>
      <c r="BE33" s="205"/>
    </row>
    <row r="34" spans="1:57" s="72" customFormat="1" ht="15.75">
      <c r="A34" s="355">
        <v>13</v>
      </c>
      <c r="B34" s="193" t="s">
        <v>238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3">
        <f t="shared" si="10"/>
        <v>0</v>
      </c>
      <c r="N34" s="186">
        <f t="shared" si="11"/>
        <v>0</v>
      </c>
      <c r="O34" s="186">
        <v>0</v>
      </c>
      <c r="P34" s="186"/>
      <c r="Q34" s="186">
        <f t="shared" si="12"/>
        <v>0</v>
      </c>
      <c r="R34" s="186">
        <v>0</v>
      </c>
      <c r="S34" s="128"/>
      <c r="T34" s="128">
        <f t="shared" si="13"/>
        <v>1140</v>
      </c>
      <c r="U34" s="128">
        <f t="shared" si="8"/>
        <v>660</v>
      </c>
      <c r="V34" s="128">
        <f t="shared" si="9"/>
        <v>480</v>
      </c>
      <c r="W34" s="194"/>
      <c r="X34" s="194"/>
      <c r="Y34" s="194"/>
      <c r="Z34" s="194"/>
      <c r="AA34" s="194"/>
      <c r="AB34" s="194"/>
      <c r="AC34" s="194"/>
      <c r="AD34" s="207">
        <f t="shared" si="14"/>
        <v>1140</v>
      </c>
      <c r="AE34" s="207">
        <f t="shared" si="15"/>
        <v>660</v>
      </c>
      <c r="AF34" s="211">
        <v>660</v>
      </c>
      <c r="AG34" s="207"/>
      <c r="AH34" s="207">
        <f t="shared" si="16"/>
        <v>480</v>
      </c>
      <c r="AI34" s="207">
        <v>480</v>
      </c>
      <c r="AJ34" s="207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07">
        <f t="shared" si="17"/>
        <v>1140</v>
      </c>
      <c r="AV34" s="207">
        <f t="shared" si="18"/>
        <v>660</v>
      </c>
      <c r="AW34" s="207">
        <f t="shared" si="19"/>
        <v>660</v>
      </c>
      <c r="AX34" s="207"/>
      <c r="AY34" s="207">
        <f t="shared" si="20"/>
        <v>480</v>
      </c>
      <c r="AZ34" s="207">
        <f t="shared" si="21"/>
        <v>480</v>
      </c>
      <c r="BA34" s="186"/>
      <c r="BB34" s="186">
        <f t="shared" si="22"/>
        <v>100</v>
      </c>
      <c r="BC34" s="186">
        <f t="shared" si="23"/>
        <v>100</v>
      </c>
      <c r="BD34" s="186">
        <f t="shared" si="24"/>
        <v>100</v>
      </c>
      <c r="BE34" s="205"/>
    </row>
    <row r="35" spans="1:57" s="72" customFormat="1" ht="15.75">
      <c r="A35" s="355">
        <v>14</v>
      </c>
      <c r="B35" s="193" t="s">
        <v>239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3"/>
      <c r="N35" s="186"/>
      <c r="O35" s="186"/>
      <c r="P35" s="186"/>
      <c r="Q35" s="186">
        <f t="shared" si="12"/>
        <v>0</v>
      </c>
      <c r="R35" s="186">
        <v>0</v>
      </c>
      <c r="S35" s="128"/>
      <c r="T35" s="128">
        <f t="shared" si="13"/>
        <v>1482.157</v>
      </c>
      <c r="U35" s="128">
        <f t="shared" si="8"/>
        <v>660</v>
      </c>
      <c r="V35" s="128">
        <f t="shared" si="9"/>
        <v>822.1569999999999</v>
      </c>
      <c r="W35" s="194"/>
      <c r="X35" s="194"/>
      <c r="Y35" s="194"/>
      <c r="Z35" s="194"/>
      <c r="AA35" s="194"/>
      <c r="AB35" s="194"/>
      <c r="AC35" s="194"/>
      <c r="AD35" s="207">
        <f t="shared" si="14"/>
        <v>1482.157</v>
      </c>
      <c r="AE35" s="207">
        <f t="shared" si="15"/>
        <v>660</v>
      </c>
      <c r="AF35" s="211">
        <v>660</v>
      </c>
      <c r="AG35" s="207"/>
      <c r="AH35" s="207">
        <f t="shared" si="16"/>
        <v>822.1569999999999</v>
      </c>
      <c r="AI35" s="207">
        <v>822.1569999999999</v>
      </c>
      <c r="AJ35" s="207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07">
        <f t="shared" si="17"/>
        <v>1482.157</v>
      </c>
      <c r="AV35" s="207">
        <f t="shared" si="18"/>
        <v>660</v>
      </c>
      <c r="AW35" s="207">
        <f t="shared" si="19"/>
        <v>660</v>
      </c>
      <c r="AX35" s="207"/>
      <c r="AY35" s="207">
        <f t="shared" si="20"/>
        <v>822.1569999999999</v>
      </c>
      <c r="AZ35" s="207">
        <f t="shared" si="21"/>
        <v>822.1569999999999</v>
      </c>
      <c r="BA35" s="186"/>
      <c r="BB35" s="186">
        <f t="shared" si="22"/>
        <v>100</v>
      </c>
      <c r="BC35" s="186">
        <f t="shared" si="23"/>
        <v>100</v>
      </c>
      <c r="BD35" s="186">
        <f t="shared" si="24"/>
        <v>100</v>
      </c>
      <c r="BE35" s="205"/>
    </row>
    <row r="36" spans="1:57" s="72" customFormat="1" ht="15.75">
      <c r="A36" s="355">
        <v>15</v>
      </c>
      <c r="B36" s="193" t="s">
        <v>240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3">
        <f t="shared" si="10"/>
        <v>0</v>
      </c>
      <c r="N36" s="186">
        <f t="shared" si="11"/>
        <v>0</v>
      </c>
      <c r="O36" s="186">
        <v>0</v>
      </c>
      <c r="P36" s="186"/>
      <c r="Q36" s="186">
        <f t="shared" si="12"/>
        <v>0</v>
      </c>
      <c r="R36" s="186">
        <v>0</v>
      </c>
      <c r="S36" s="128"/>
      <c r="T36" s="128">
        <f t="shared" si="13"/>
        <v>1140</v>
      </c>
      <c r="U36" s="128">
        <f t="shared" si="8"/>
        <v>660</v>
      </c>
      <c r="V36" s="128">
        <f t="shared" si="9"/>
        <v>480</v>
      </c>
      <c r="W36" s="194"/>
      <c r="X36" s="194"/>
      <c r="Y36" s="194"/>
      <c r="Z36" s="194"/>
      <c r="AA36" s="194"/>
      <c r="AB36" s="194"/>
      <c r="AC36" s="194"/>
      <c r="AD36" s="207">
        <f t="shared" si="14"/>
        <v>1140</v>
      </c>
      <c r="AE36" s="207">
        <f t="shared" si="15"/>
        <v>660</v>
      </c>
      <c r="AF36" s="211">
        <v>660</v>
      </c>
      <c r="AG36" s="207"/>
      <c r="AH36" s="207">
        <f t="shared" si="16"/>
        <v>480</v>
      </c>
      <c r="AI36" s="207">
        <v>480</v>
      </c>
      <c r="AJ36" s="207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07">
        <f t="shared" si="17"/>
        <v>1140</v>
      </c>
      <c r="AV36" s="207">
        <f t="shared" si="18"/>
        <v>660</v>
      </c>
      <c r="AW36" s="207">
        <f t="shared" si="19"/>
        <v>660</v>
      </c>
      <c r="AX36" s="207"/>
      <c r="AY36" s="207">
        <f t="shared" si="20"/>
        <v>480</v>
      </c>
      <c r="AZ36" s="207">
        <f t="shared" si="21"/>
        <v>480</v>
      </c>
      <c r="BA36" s="186"/>
      <c r="BB36" s="186">
        <f t="shared" si="22"/>
        <v>100</v>
      </c>
      <c r="BC36" s="186">
        <f t="shared" si="23"/>
        <v>100</v>
      </c>
      <c r="BD36" s="186">
        <f t="shared" si="24"/>
        <v>100</v>
      </c>
      <c r="BE36" s="205"/>
    </row>
    <row r="37" spans="1:57" s="72" customFormat="1" ht="15.75">
      <c r="A37" s="355">
        <v>16</v>
      </c>
      <c r="B37" s="193" t="s">
        <v>241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3">
        <f t="shared" si="10"/>
        <v>0</v>
      </c>
      <c r="N37" s="186">
        <f t="shared" si="11"/>
        <v>0</v>
      </c>
      <c r="O37" s="186">
        <v>0</v>
      </c>
      <c r="P37" s="186"/>
      <c r="Q37" s="186">
        <f t="shared" si="12"/>
        <v>0</v>
      </c>
      <c r="R37" s="186">
        <v>0</v>
      </c>
      <c r="S37" s="128"/>
      <c r="T37" s="128">
        <f t="shared" si="13"/>
        <v>0</v>
      </c>
      <c r="U37" s="128">
        <f t="shared" si="8"/>
        <v>0</v>
      </c>
      <c r="V37" s="128">
        <f t="shared" si="9"/>
        <v>0</v>
      </c>
      <c r="W37" s="194"/>
      <c r="X37" s="194"/>
      <c r="Y37" s="194"/>
      <c r="Z37" s="194"/>
      <c r="AA37" s="194"/>
      <c r="AB37" s="194"/>
      <c r="AC37" s="194"/>
      <c r="AD37" s="207">
        <f t="shared" si="14"/>
        <v>0</v>
      </c>
      <c r="AE37" s="207">
        <f t="shared" si="15"/>
        <v>0</v>
      </c>
      <c r="AF37" s="211"/>
      <c r="AG37" s="207"/>
      <c r="AH37" s="207">
        <f t="shared" si="16"/>
        <v>0</v>
      </c>
      <c r="AI37" s="207">
        <v>0</v>
      </c>
      <c r="AJ37" s="207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07">
        <f t="shared" si="17"/>
        <v>0</v>
      </c>
      <c r="AV37" s="207">
        <f t="shared" si="18"/>
        <v>0</v>
      </c>
      <c r="AW37" s="207">
        <f t="shared" si="19"/>
        <v>0</v>
      </c>
      <c r="AX37" s="207"/>
      <c r="AY37" s="207">
        <f t="shared" si="20"/>
        <v>0</v>
      </c>
      <c r="AZ37" s="207">
        <f t="shared" si="21"/>
        <v>0</v>
      </c>
      <c r="BA37" s="186"/>
      <c r="BB37" s="186"/>
      <c r="BC37" s="186"/>
      <c r="BD37" s="186"/>
      <c r="BE37" s="205"/>
    </row>
    <row r="38" spans="1:57" s="72" customFormat="1" ht="15.75">
      <c r="A38" s="355">
        <v>17</v>
      </c>
      <c r="B38" s="193" t="s">
        <v>242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3">
        <f t="shared" si="10"/>
        <v>0</v>
      </c>
      <c r="N38" s="186">
        <f t="shared" si="11"/>
        <v>0</v>
      </c>
      <c r="O38" s="186">
        <v>0</v>
      </c>
      <c r="P38" s="186"/>
      <c r="Q38" s="186">
        <f t="shared" si="12"/>
        <v>0</v>
      </c>
      <c r="R38" s="186">
        <v>0</v>
      </c>
      <c r="S38" s="128"/>
      <c r="T38" s="128">
        <f t="shared" si="13"/>
        <v>1140</v>
      </c>
      <c r="U38" s="128">
        <f t="shared" si="8"/>
        <v>660</v>
      </c>
      <c r="V38" s="128">
        <f t="shared" si="9"/>
        <v>480</v>
      </c>
      <c r="W38" s="194"/>
      <c r="X38" s="194"/>
      <c r="Y38" s="194"/>
      <c r="Z38" s="194"/>
      <c r="AA38" s="194"/>
      <c r="AB38" s="194"/>
      <c r="AC38" s="194"/>
      <c r="AD38" s="207">
        <f t="shared" si="14"/>
        <v>1140</v>
      </c>
      <c r="AE38" s="207">
        <f t="shared" si="15"/>
        <v>660</v>
      </c>
      <c r="AF38" s="211">
        <v>660</v>
      </c>
      <c r="AG38" s="207"/>
      <c r="AH38" s="207">
        <f t="shared" si="16"/>
        <v>480</v>
      </c>
      <c r="AI38" s="207">
        <v>480</v>
      </c>
      <c r="AJ38" s="207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07">
        <f t="shared" si="17"/>
        <v>1140</v>
      </c>
      <c r="AV38" s="207">
        <f t="shared" si="18"/>
        <v>660</v>
      </c>
      <c r="AW38" s="207">
        <f t="shared" si="19"/>
        <v>660</v>
      </c>
      <c r="AX38" s="207"/>
      <c r="AY38" s="207">
        <f t="shared" si="20"/>
        <v>480</v>
      </c>
      <c r="AZ38" s="207">
        <f t="shared" si="21"/>
        <v>480</v>
      </c>
      <c r="BA38" s="186"/>
      <c r="BB38" s="186">
        <f t="shared" si="22"/>
        <v>100</v>
      </c>
      <c r="BC38" s="186">
        <f t="shared" si="23"/>
        <v>100</v>
      </c>
      <c r="BD38" s="186">
        <f t="shared" si="24"/>
        <v>100</v>
      </c>
      <c r="BE38" s="205"/>
    </row>
    <row r="39" spans="1:57" s="72" customFormat="1" ht="15.75">
      <c r="A39" s="355">
        <v>18</v>
      </c>
      <c r="B39" s="193" t="s">
        <v>243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3">
        <f t="shared" si="10"/>
        <v>0</v>
      </c>
      <c r="N39" s="186">
        <f t="shared" si="11"/>
        <v>0</v>
      </c>
      <c r="O39" s="186">
        <v>0</v>
      </c>
      <c r="P39" s="186"/>
      <c r="Q39" s="186">
        <f t="shared" si="12"/>
        <v>0</v>
      </c>
      <c r="R39" s="186">
        <v>0</v>
      </c>
      <c r="S39" s="128"/>
      <c r="T39" s="128">
        <f t="shared" si="13"/>
        <v>770</v>
      </c>
      <c r="U39" s="128">
        <f t="shared" si="8"/>
        <v>660</v>
      </c>
      <c r="V39" s="128">
        <f t="shared" si="9"/>
        <v>110</v>
      </c>
      <c r="W39" s="194"/>
      <c r="X39" s="194"/>
      <c r="Y39" s="194"/>
      <c r="Z39" s="194"/>
      <c r="AA39" s="194"/>
      <c r="AB39" s="194"/>
      <c r="AC39" s="194"/>
      <c r="AD39" s="207">
        <f t="shared" si="14"/>
        <v>770</v>
      </c>
      <c r="AE39" s="207">
        <f t="shared" si="15"/>
        <v>660</v>
      </c>
      <c r="AF39" s="211">
        <v>660</v>
      </c>
      <c r="AG39" s="207"/>
      <c r="AH39" s="207">
        <f t="shared" si="16"/>
        <v>110</v>
      </c>
      <c r="AI39" s="207">
        <v>110</v>
      </c>
      <c r="AJ39" s="207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07">
        <f t="shared" si="17"/>
        <v>770</v>
      </c>
      <c r="AV39" s="207">
        <f t="shared" si="18"/>
        <v>660</v>
      </c>
      <c r="AW39" s="207">
        <f t="shared" si="19"/>
        <v>660</v>
      </c>
      <c r="AX39" s="207"/>
      <c r="AY39" s="207">
        <f t="shared" si="20"/>
        <v>110</v>
      </c>
      <c r="AZ39" s="207">
        <f t="shared" si="21"/>
        <v>110</v>
      </c>
      <c r="BA39" s="186"/>
      <c r="BB39" s="186">
        <f t="shared" si="22"/>
        <v>100</v>
      </c>
      <c r="BC39" s="186">
        <f t="shared" si="23"/>
        <v>100</v>
      </c>
      <c r="BD39" s="186">
        <f t="shared" si="24"/>
        <v>100</v>
      </c>
      <c r="BE39" s="205"/>
    </row>
    <row r="40" spans="1:57" s="72" customFormat="1" ht="15.75">
      <c r="A40" s="355">
        <v>19</v>
      </c>
      <c r="B40" s="193" t="s">
        <v>244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3">
        <f t="shared" si="10"/>
        <v>0</v>
      </c>
      <c r="N40" s="186">
        <f t="shared" si="11"/>
        <v>0</v>
      </c>
      <c r="O40" s="186">
        <v>0</v>
      </c>
      <c r="P40" s="186"/>
      <c r="Q40" s="186">
        <f t="shared" si="12"/>
        <v>0</v>
      </c>
      <c r="R40" s="186">
        <v>0</v>
      </c>
      <c r="S40" s="128"/>
      <c r="T40" s="128">
        <f t="shared" si="13"/>
        <v>0</v>
      </c>
      <c r="U40" s="128">
        <f t="shared" si="8"/>
        <v>0</v>
      </c>
      <c r="V40" s="128">
        <f t="shared" si="9"/>
        <v>0</v>
      </c>
      <c r="W40" s="194"/>
      <c r="X40" s="194"/>
      <c r="Y40" s="194"/>
      <c r="Z40" s="194"/>
      <c r="AA40" s="194"/>
      <c r="AB40" s="194"/>
      <c r="AC40" s="194"/>
      <c r="AD40" s="207">
        <f t="shared" si="14"/>
        <v>0</v>
      </c>
      <c r="AE40" s="207">
        <f t="shared" si="15"/>
        <v>0</v>
      </c>
      <c r="AF40" s="211"/>
      <c r="AG40" s="207"/>
      <c r="AH40" s="207">
        <f t="shared" si="16"/>
        <v>0</v>
      </c>
      <c r="AI40" s="207">
        <v>0</v>
      </c>
      <c r="AJ40" s="207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07">
        <f t="shared" si="17"/>
        <v>0</v>
      </c>
      <c r="AV40" s="207">
        <f t="shared" si="18"/>
        <v>0</v>
      </c>
      <c r="AW40" s="207">
        <f t="shared" si="19"/>
        <v>0</v>
      </c>
      <c r="AX40" s="207">
        <v>0</v>
      </c>
      <c r="AY40" s="207">
        <f t="shared" si="20"/>
        <v>0</v>
      </c>
      <c r="AZ40" s="207">
        <f t="shared" si="21"/>
        <v>0</v>
      </c>
      <c r="BA40" s="186"/>
      <c r="BB40" s="186"/>
      <c r="BC40" s="186"/>
      <c r="BD40" s="186"/>
      <c r="BE40" s="205"/>
    </row>
    <row r="41" spans="1:57" s="72" customFormat="1" ht="15.75">
      <c r="A41" s="356">
        <v>20</v>
      </c>
      <c r="B41" s="196" t="s">
        <v>245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7">
        <f t="shared" si="10"/>
        <v>0</v>
      </c>
      <c r="N41" s="195">
        <f t="shared" si="11"/>
        <v>0</v>
      </c>
      <c r="O41" s="195">
        <v>0</v>
      </c>
      <c r="P41" s="195"/>
      <c r="Q41" s="195">
        <f t="shared" si="12"/>
        <v>0</v>
      </c>
      <c r="R41" s="195">
        <v>0</v>
      </c>
      <c r="S41" s="198"/>
      <c r="T41" s="198">
        <f t="shared" si="13"/>
        <v>0</v>
      </c>
      <c r="U41" s="198">
        <f>+AL41</f>
        <v>0</v>
      </c>
      <c r="V41" s="198">
        <f>+AO41</f>
        <v>0</v>
      </c>
      <c r="W41" s="199"/>
      <c r="X41" s="199"/>
      <c r="Y41" s="199"/>
      <c r="Z41" s="199"/>
      <c r="AA41" s="199"/>
      <c r="AB41" s="199"/>
      <c r="AC41" s="199"/>
      <c r="AD41" s="209">
        <f t="shared" si="14"/>
        <v>0</v>
      </c>
      <c r="AE41" s="209">
        <f t="shared" si="15"/>
        <v>0</v>
      </c>
      <c r="AF41" s="214"/>
      <c r="AG41" s="209"/>
      <c r="AH41" s="209">
        <f t="shared" si="16"/>
        <v>0</v>
      </c>
      <c r="AI41" s="209">
        <v>0</v>
      </c>
      <c r="AJ41" s="209"/>
      <c r="AK41" s="209">
        <f>+AL41+AM41</f>
        <v>0</v>
      </c>
      <c r="AL41" s="209"/>
      <c r="AM41" s="209"/>
      <c r="AN41" s="209">
        <f>+AO41+AP41</f>
        <v>0</v>
      </c>
      <c r="AO41" s="209"/>
      <c r="AP41" s="209"/>
      <c r="AQ41" s="209">
        <f>+AR41+AU41</f>
        <v>0</v>
      </c>
      <c r="AR41" s="209">
        <f>+AS41+AT41</f>
        <v>0</v>
      </c>
      <c r="AS41" s="209"/>
      <c r="AT41" s="209"/>
      <c r="AU41" s="209">
        <f t="shared" si="17"/>
        <v>0</v>
      </c>
      <c r="AV41" s="209">
        <f t="shared" si="18"/>
        <v>0</v>
      </c>
      <c r="AW41" s="209">
        <f t="shared" si="19"/>
        <v>0</v>
      </c>
      <c r="AX41" s="209">
        <v>0</v>
      </c>
      <c r="AY41" s="209">
        <f t="shared" si="20"/>
        <v>0</v>
      </c>
      <c r="AZ41" s="209">
        <f t="shared" si="21"/>
        <v>0</v>
      </c>
      <c r="BA41" s="195"/>
      <c r="BB41" s="195"/>
      <c r="BC41" s="195"/>
      <c r="BD41" s="195"/>
      <c r="BE41" s="195"/>
    </row>
    <row r="42" spans="1:57" s="29" customFormat="1" ht="21" customHeight="1">
      <c r="A42" s="55"/>
      <c r="B42" s="54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74"/>
      <c r="N42" s="56"/>
      <c r="O42" s="56"/>
      <c r="P42" s="56"/>
      <c r="Q42" s="56"/>
      <c r="R42" s="5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13:52" s="66" customFormat="1" ht="15">
      <c r="M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</row>
    <row r="44" spans="13:52" s="66" customFormat="1" ht="15">
      <c r="M44" s="109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</row>
    <row r="45" spans="13:52" s="66" customFormat="1" ht="15">
      <c r="M45" s="109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</row>
    <row r="46" spans="13:52" s="66" customFormat="1" ht="15">
      <c r="M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</row>
  </sheetData>
  <sheetProtection/>
  <mergeCells count="79">
    <mergeCell ref="BA1:BE1"/>
    <mergeCell ref="A5:BE5"/>
    <mergeCell ref="AH11:AH12"/>
    <mergeCell ref="AN10:AN12"/>
    <mergeCell ref="AO10:AQ10"/>
    <mergeCell ref="AR10:AT10"/>
    <mergeCell ref="H11:I11"/>
    <mergeCell ref="J11:J12"/>
    <mergeCell ref="AO11:AO12"/>
    <mergeCell ref="AP11:AQ11"/>
    <mergeCell ref="BC10:BC12"/>
    <mergeCell ref="AS11:AT11"/>
    <mergeCell ref="AV11:AV12"/>
    <mergeCell ref="AW11:AX11"/>
    <mergeCell ref="K11:L11"/>
    <mergeCell ref="BA2:BD3"/>
    <mergeCell ref="BD10:BD12"/>
    <mergeCell ref="U10:U12"/>
    <mergeCell ref="Q10:S10"/>
    <mergeCell ref="AE10:AG10"/>
    <mergeCell ref="G11:G12"/>
    <mergeCell ref="Y11:Z11"/>
    <mergeCell ref="AA11:AA12"/>
    <mergeCell ref="AB11:AC11"/>
    <mergeCell ref="N11:N12"/>
    <mergeCell ref="O11:P11"/>
    <mergeCell ref="X11:X12"/>
    <mergeCell ref="Q11:Q12"/>
    <mergeCell ref="R11:S11"/>
    <mergeCell ref="V10:V12"/>
    <mergeCell ref="W10:W12"/>
    <mergeCell ref="X10:Z10"/>
    <mergeCell ref="AU9:BA9"/>
    <mergeCell ref="BB9:BB12"/>
    <mergeCell ref="AA10:AC10"/>
    <mergeCell ref="AD10:AD12"/>
    <mergeCell ref="AR11:AR12"/>
    <mergeCell ref="AE11:AE12"/>
    <mergeCell ref="AF11:AG11"/>
    <mergeCell ref="AV10:AX10"/>
    <mergeCell ref="AY10:BA10"/>
    <mergeCell ref="AY11:AY12"/>
    <mergeCell ref="AZ11:BA11"/>
    <mergeCell ref="AI11:AJ11"/>
    <mergeCell ref="A1:B1"/>
    <mergeCell ref="A2:B2"/>
    <mergeCell ref="A4:BD4"/>
    <mergeCell ref="A6:BD6"/>
    <mergeCell ref="AZ7:BE7"/>
    <mergeCell ref="AN9:AT9"/>
    <mergeCell ref="BC9:BD9"/>
    <mergeCell ref="BE9:BE12"/>
    <mergeCell ref="D10:D12"/>
    <mergeCell ref="E10:E12"/>
    <mergeCell ref="F10:F12"/>
    <mergeCell ref="G10:I10"/>
    <mergeCell ref="J10:L10"/>
    <mergeCell ref="M10:M12"/>
    <mergeCell ref="AU10:AU12"/>
    <mergeCell ref="AK8:BA8"/>
    <mergeCell ref="AD9:AJ9"/>
    <mergeCell ref="AK9:AK12"/>
    <mergeCell ref="AL9:AM9"/>
    <mergeCell ref="N10:P10"/>
    <mergeCell ref="U9:V9"/>
    <mergeCell ref="W9:AC9"/>
    <mergeCell ref="AH10:AJ10"/>
    <mergeCell ref="AL10:AL12"/>
    <mergeCell ref="AM10:AM12"/>
    <mergeCell ref="A8:A12"/>
    <mergeCell ref="B8:B12"/>
    <mergeCell ref="C8:S8"/>
    <mergeCell ref="BB8:BE8"/>
    <mergeCell ref="C9:C12"/>
    <mergeCell ref="D9:E9"/>
    <mergeCell ref="F9:L9"/>
    <mergeCell ref="M9:S9"/>
    <mergeCell ref="T9:T12"/>
    <mergeCell ref="T8:AJ8"/>
  </mergeCells>
  <printOptions/>
  <pageMargins left="0.41" right="0.26" top="1.06" bottom="0.57" header="0.3" footer="0.3"/>
  <pageSetup horizontalDpi="600" verticalDpi="600" orientation="landscape" pageOrder="overThenDown" paperSize="9" scale="70" r:id="rId2"/>
  <headerFooter>
    <oddFooter>&amp;C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46"/>
  <sheetViews>
    <sheetView zoomScale="85" zoomScaleNormal="85" zoomScalePageLayoutView="0" workbookViewId="0" topLeftCell="A7">
      <selection activeCell="E15" sqref="E15"/>
    </sheetView>
  </sheetViews>
  <sheetFormatPr defaultColWidth="13.57421875" defaultRowHeight="15"/>
  <cols>
    <col min="1" max="1" width="5.8515625" style="114" customWidth="1"/>
    <col min="2" max="2" width="21.28125" style="114" customWidth="1"/>
    <col min="3" max="3" width="13.57421875" style="114" customWidth="1"/>
    <col min="4" max="4" width="15.421875" style="115" customWidth="1"/>
    <col min="5" max="12" width="13.57421875" style="115" customWidth="1"/>
    <col min="13" max="13" width="10.7109375" style="115" customWidth="1"/>
    <col min="14" max="14" width="13.00390625" style="115" customWidth="1"/>
    <col min="15" max="15" width="15.57421875" style="115" customWidth="1"/>
    <col min="16" max="17" width="13.57421875" style="115" customWidth="1"/>
    <col min="18" max="18" width="12.28125" style="115" customWidth="1"/>
    <col min="19" max="19" width="9.57421875" style="115" customWidth="1"/>
    <col min="20" max="20" width="10.421875" style="115" customWidth="1"/>
    <col min="21" max="16384" width="13.57421875" style="114" customWidth="1"/>
  </cols>
  <sheetData>
    <row r="1" spans="1:20" ht="19.5" customHeight="1">
      <c r="A1" s="419" t="s">
        <v>220</v>
      </c>
      <c r="B1" s="419"/>
      <c r="Q1" s="420" t="s">
        <v>168</v>
      </c>
      <c r="R1" s="420"/>
      <c r="S1" s="420"/>
      <c r="T1" s="420"/>
    </row>
    <row r="2" spans="1:20" ht="19.5" customHeight="1">
      <c r="A2" s="419" t="s">
        <v>227</v>
      </c>
      <c r="B2" s="419"/>
      <c r="Q2" s="431" t="s">
        <v>205</v>
      </c>
      <c r="R2" s="431"/>
      <c r="S2" s="431"/>
      <c r="T2" s="431"/>
    </row>
    <row r="3" spans="17:20" ht="15.75" customHeight="1">
      <c r="Q3" s="431"/>
      <c r="R3" s="431"/>
      <c r="S3" s="431"/>
      <c r="T3" s="431"/>
    </row>
    <row r="4" spans="17:20" ht="15.75" customHeight="1">
      <c r="Q4" s="171"/>
      <c r="R4" s="171"/>
      <c r="S4" s="171"/>
      <c r="T4" s="171"/>
    </row>
    <row r="5" spans="1:20" ht="49.5" customHeight="1">
      <c r="A5" s="403" t="s">
        <v>295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</row>
    <row r="6" spans="1:20" ht="21" customHeight="1">
      <c r="A6" s="424" t="s">
        <v>146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</row>
    <row r="7" spans="17:20" ht="24" customHeight="1">
      <c r="Q7" s="432" t="s">
        <v>145</v>
      </c>
      <c r="R7" s="432"/>
      <c r="S7" s="432"/>
      <c r="T7" s="432"/>
    </row>
    <row r="8" spans="1:20" ht="24" customHeight="1">
      <c r="A8" s="425" t="s">
        <v>7</v>
      </c>
      <c r="B8" s="425" t="s">
        <v>166</v>
      </c>
      <c r="C8" s="425" t="s">
        <v>148</v>
      </c>
      <c r="D8" s="428" t="s">
        <v>149</v>
      </c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30"/>
      <c r="T8" s="421" t="s">
        <v>151</v>
      </c>
    </row>
    <row r="9" spans="1:20" ht="15.75">
      <c r="A9" s="426"/>
      <c r="B9" s="426"/>
      <c r="C9" s="426"/>
      <c r="D9" s="406" t="s">
        <v>1</v>
      </c>
      <c r="E9" s="406" t="s">
        <v>156</v>
      </c>
      <c r="F9" s="406" t="s">
        <v>157</v>
      </c>
      <c r="G9" s="406" t="s">
        <v>107</v>
      </c>
      <c r="H9" s="406" t="s">
        <v>108</v>
      </c>
      <c r="I9" s="406" t="s">
        <v>158</v>
      </c>
      <c r="J9" s="406" t="s">
        <v>159</v>
      </c>
      <c r="K9" s="406" t="s">
        <v>160</v>
      </c>
      <c r="L9" s="406" t="s">
        <v>161</v>
      </c>
      <c r="M9" s="406" t="s">
        <v>162</v>
      </c>
      <c r="N9" s="406" t="s">
        <v>113</v>
      </c>
      <c r="O9" s="406" t="s">
        <v>143</v>
      </c>
      <c r="P9" s="406"/>
      <c r="Q9" s="406" t="s">
        <v>163</v>
      </c>
      <c r="R9" s="406" t="s">
        <v>164</v>
      </c>
      <c r="S9" s="406" t="s">
        <v>165</v>
      </c>
      <c r="T9" s="422"/>
    </row>
    <row r="10" spans="1:20" ht="89.25" customHeight="1">
      <c r="A10" s="427"/>
      <c r="B10" s="427"/>
      <c r="C10" s="427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170" t="s">
        <v>169</v>
      </c>
      <c r="P10" s="170" t="s">
        <v>170</v>
      </c>
      <c r="Q10" s="406"/>
      <c r="R10" s="406"/>
      <c r="S10" s="406"/>
      <c r="T10" s="423"/>
    </row>
    <row r="11" spans="1:20" s="113" customFormat="1" ht="15.75">
      <c r="A11" s="47" t="s">
        <v>16</v>
      </c>
      <c r="B11" s="47" t="s">
        <v>17</v>
      </c>
      <c r="C11" s="47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>
        <v>13</v>
      </c>
      <c r="P11" s="48">
        <v>14</v>
      </c>
      <c r="Q11" s="48">
        <v>15</v>
      </c>
      <c r="R11" s="48">
        <v>16</v>
      </c>
      <c r="S11" s="48">
        <v>17</v>
      </c>
      <c r="T11" s="48" t="s">
        <v>171</v>
      </c>
    </row>
    <row r="12" spans="1:20" ht="25.5" customHeight="1">
      <c r="A12" s="169"/>
      <c r="B12" s="50" t="s">
        <v>167</v>
      </c>
      <c r="C12" s="224">
        <f>'[2]55. ND 31. Chi DTXD don vi'!C12</f>
        <v>976339.0951960001</v>
      </c>
      <c r="D12" s="172">
        <f aca="true" t="shared" si="0" ref="D12:S12">D13+D26</f>
        <v>364669.90221499995</v>
      </c>
      <c r="E12" s="170">
        <f t="shared" si="0"/>
        <v>45429.265140999996</v>
      </c>
      <c r="F12" s="170">
        <f t="shared" si="0"/>
        <v>0</v>
      </c>
      <c r="G12" s="170">
        <f t="shared" si="0"/>
        <v>1160.392</v>
      </c>
      <c r="H12" s="170">
        <f t="shared" si="0"/>
        <v>8938.24</v>
      </c>
      <c r="I12" s="170">
        <f t="shared" si="0"/>
        <v>576.149</v>
      </c>
      <c r="J12" s="170">
        <f t="shared" si="0"/>
        <v>16705.335634000003</v>
      </c>
      <c r="K12" s="170">
        <f t="shared" si="0"/>
        <v>161.47443</v>
      </c>
      <c r="L12" s="170">
        <f t="shared" si="0"/>
        <v>16782.648</v>
      </c>
      <c r="M12" s="170">
        <f t="shared" si="0"/>
        <v>634.797</v>
      </c>
      <c r="N12" s="170">
        <f t="shared" si="0"/>
        <v>242068.65920000002</v>
      </c>
      <c r="O12" s="170">
        <f t="shared" si="0"/>
        <v>134616.981164</v>
      </c>
      <c r="P12" s="170">
        <f t="shared" si="0"/>
        <v>33200.793295</v>
      </c>
      <c r="Q12" s="170">
        <f t="shared" si="0"/>
        <v>25531.7341</v>
      </c>
      <c r="R12" s="170">
        <f t="shared" si="0"/>
        <v>6681.20771</v>
      </c>
      <c r="S12" s="170">
        <f t="shared" si="0"/>
        <v>0</v>
      </c>
      <c r="T12" s="170">
        <f>D12/C12*100</f>
        <v>37.350742586190556</v>
      </c>
    </row>
    <row r="13" spans="1:20" ht="25.5" customHeight="1">
      <c r="A13" s="203" t="s">
        <v>86</v>
      </c>
      <c r="B13" s="203" t="s">
        <v>248</v>
      </c>
      <c r="C13" s="176">
        <f>'[2]55. ND 31. Chi DTXD don vi'!C13</f>
        <v>796669.711537</v>
      </c>
      <c r="D13" s="176">
        <f aca="true" t="shared" si="1" ref="D13:S13">SUM(D14:D25)</f>
        <v>234720.43984099996</v>
      </c>
      <c r="E13" s="176">
        <f t="shared" si="1"/>
        <v>25887.140956</v>
      </c>
      <c r="F13" s="176">
        <f t="shared" si="1"/>
        <v>0</v>
      </c>
      <c r="G13" s="176">
        <f t="shared" si="1"/>
        <v>1160.392</v>
      </c>
      <c r="H13" s="176">
        <f t="shared" si="1"/>
        <v>7945.266</v>
      </c>
      <c r="I13" s="176">
        <f t="shared" si="1"/>
        <v>108.205</v>
      </c>
      <c r="J13" s="176">
        <f t="shared" si="1"/>
        <v>14442.164334000001</v>
      </c>
      <c r="K13" s="176">
        <f t="shared" si="1"/>
        <v>0</v>
      </c>
      <c r="L13" s="176">
        <f t="shared" si="1"/>
        <v>15482.983</v>
      </c>
      <c r="M13" s="176">
        <f t="shared" si="1"/>
        <v>327.837</v>
      </c>
      <c r="N13" s="176">
        <f t="shared" si="1"/>
        <v>157586.20555100002</v>
      </c>
      <c r="O13" s="176">
        <f t="shared" si="1"/>
        <v>81143.651281</v>
      </c>
      <c r="P13" s="176">
        <f t="shared" si="1"/>
        <v>8565.49</v>
      </c>
      <c r="Q13" s="176">
        <f t="shared" si="1"/>
        <v>10242.433</v>
      </c>
      <c r="R13" s="176">
        <f t="shared" si="1"/>
        <v>1537.813</v>
      </c>
      <c r="S13" s="176">
        <f t="shared" si="1"/>
        <v>0</v>
      </c>
      <c r="T13" s="176">
        <f>SUM(T14:T20)</f>
        <v>405.67600727549933</v>
      </c>
    </row>
    <row r="14" spans="1:20" s="49" customFormat="1" ht="29.25" customHeight="1">
      <c r="A14" s="182">
        <v>1</v>
      </c>
      <c r="B14" s="182" t="s">
        <v>267</v>
      </c>
      <c r="C14" s="181">
        <f>'[2]55. ND 31. Chi DTXD don vi'!C14</f>
        <v>458491.095631</v>
      </c>
      <c r="D14" s="313">
        <f>SUM(E14:N14)+Q14+R14</f>
        <v>150309.594838</v>
      </c>
      <c r="E14" s="314">
        <v>25887.140956</v>
      </c>
      <c r="F14" s="313"/>
      <c r="G14" s="313">
        <v>1160.392</v>
      </c>
      <c r="H14" s="313">
        <v>5004.276</v>
      </c>
      <c r="I14" s="313">
        <v>108.205</v>
      </c>
      <c r="J14" s="315">
        <v>7974.104334</v>
      </c>
      <c r="K14" s="313"/>
      <c r="L14" s="313">
        <v>15482.983</v>
      </c>
      <c r="M14" s="313"/>
      <c r="N14" s="313">
        <v>85078.794548</v>
      </c>
      <c r="O14" s="313">
        <f>81143.651281-O16</f>
        <v>66202.068481</v>
      </c>
      <c r="P14" s="313">
        <v>3546.4629999999997</v>
      </c>
      <c r="Q14" s="313">
        <f>8446.565-230.679</f>
        <v>8215.886</v>
      </c>
      <c r="R14" s="313">
        <v>1397.813</v>
      </c>
      <c r="S14" s="313"/>
      <c r="T14" s="313">
        <f>D14/C14*100</f>
        <v>32.78353631516788</v>
      </c>
    </row>
    <row r="15" spans="1:20" s="49" customFormat="1" ht="36" customHeight="1">
      <c r="A15" s="182">
        <v>2</v>
      </c>
      <c r="B15" s="182" t="s">
        <v>268</v>
      </c>
      <c r="C15" s="181">
        <f>'[2]55. ND 31. Chi DTXD don vi'!C15</f>
        <v>18363.981956</v>
      </c>
      <c r="D15" s="313">
        <f aca="true" t="shared" si="2" ref="D15:D25">SUM(E15:N15)+Q15+R15</f>
        <v>11736.143217000003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>
        <v>11736.143217000003</v>
      </c>
      <c r="O15" s="316"/>
      <c r="P15" s="313"/>
      <c r="Q15" s="313"/>
      <c r="R15" s="313"/>
      <c r="S15" s="313"/>
      <c r="T15" s="313">
        <f aca="true" t="shared" si="3" ref="T15:T25">D15/C15*100</f>
        <v>63.90848806712911</v>
      </c>
    </row>
    <row r="16" spans="1:20" s="49" customFormat="1" ht="24" customHeight="1">
      <c r="A16" s="182">
        <v>3</v>
      </c>
      <c r="B16" s="182" t="s">
        <v>269</v>
      </c>
      <c r="C16" s="181">
        <f>'[2]55. ND 31. Chi DTXD don vi'!C16</f>
        <v>21941.382999999998</v>
      </c>
      <c r="D16" s="313">
        <f t="shared" si="2"/>
        <v>19696.989208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>
        <v>19696.989208</v>
      </c>
      <c r="O16" s="313">
        <v>14941.5828</v>
      </c>
      <c r="P16" s="313"/>
      <c r="Q16" s="313"/>
      <c r="R16" s="313"/>
      <c r="S16" s="313"/>
      <c r="T16" s="313">
        <f t="shared" si="3"/>
        <v>89.77095567767994</v>
      </c>
    </row>
    <row r="17" spans="1:20" s="49" customFormat="1" ht="24" customHeight="1">
      <c r="A17" s="182">
        <v>4</v>
      </c>
      <c r="B17" s="182" t="s">
        <v>247</v>
      </c>
      <c r="C17" s="181">
        <f>'[2]55. ND 31. Chi DTXD don vi'!C17</f>
        <v>5222.744000000001</v>
      </c>
      <c r="D17" s="313">
        <f t="shared" si="2"/>
        <v>0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4"/>
      <c r="O17" s="313"/>
      <c r="P17" s="314">
        <v>5019.027</v>
      </c>
      <c r="Q17" s="313"/>
      <c r="R17" s="313"/>
      <c r="S17" s="313"/>
      <c r="T17" s="313">
        <f t="shared" si="3"/>
        <v>0</v>
      </c>
    </row>
    <row r="18" spans="1:20" s="49" customFormat="1" ht="41.25" customHeight="1">
      <c r="A18" s="182">
        <v>5</v>
      </c>
      <c r="B18" s="182" t="s">
        <v>270</v>
      </c>
      <c r="C18" s="181">
        <f>'[2]55. ND 31. Chi DTXD don vi'!C18</f>
        <v>230.679</v>
      </c>
      <c r="D18" s="313">
        <f t="shared" si="2"/>
        <v>230.679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>
        <v>230.679</v>
      </c>
      <c r="R18" s="313"/>
      <c r="S18" s="313"/>
      <c r="T18" s="313">
        <f t="shared" si="3"/>
        <v>100</v>
      </c>
    </row>
    <row r="19" spans="1:20" s="49" customFormat="1" ht="39.75" customHeight="1">
      <c r="A19" s="182">
        <v>6</v>
      </c>
      <c r="B19" s="182" t="s">
        <v>271</v>
      </c>
      <c r="C19" s="181">
        <f>'[2]55. ND 31. Chi DTXD don vi'!C19</f>
        <v>1825.0589999999997</v>
      </c>
      <c r="D19" s="313">
        <f t="shared" si="2"/>
        <v>411.674</v>
      </c>
      <c r="E19" s="313"/>
      <c r="F19" s="313"/>
      <c r="G19" s="313"/>
      <c r="H19" s="313"/>
      <c r="I19" s="313"/>
      <c r="J19" s="313"/>
      <c r="K19" s="313"/>
      <c r="L19" s="313"/>
      <c r="M19" s="313">
        <v>327.837</v>
      </c>
      <c r="N19" s="313">
        <v>83.837</v>
      </c>
      <c r="O19" s="313"/>
      <c r="P19" s="313"/>
      <c r="Q19" s="313"/>
      <c r="R19" s="313"/>
      <c r="S19" s="313"/>
      <c r="T19" s="313">
        <f t="shared" si="3"/>
        <v>22.556750220129874</v>
      </c>
    </row>
    <row r="20" spans="1:20" s="49" customFormat="1" ht="57" customHeight="1">
      <c r="A20" s="182">
        <v>7</v>
      </c>
      <c r="B20" s="182" t="s">
        <v>272</v>
      </c>
      <c r="C20" s="181">
        <f>'[2]55. ND 31. Chi DTXD don vi'!C20</f>
        <v>5801.916</v>
      </c>
      <c r="D20" s="313">
        <f t="shared" si="2"/>
        <v>5607.916</v>
      </c>
      <c r="E20" s="313"/>
      <c r="F20" s="313"/>
      <c r="G20" s="313"/>
      <c r="H20" s="313"/>
      <c r="I20" s="313"/>
      <c r="J20" s="313">
        <v>5607.916</v>
      </c>
      <c r="K20" s="313"/>
      <c r="L20" s="313"/>
      <c r="M20" s="313"/>
      <c r="N20" s="313"/>
      <c r="O20" s="313"/>
      <c r="P20" s="313"/>
      <c r="Q20" s="313"/>
      <c r="R20" s="313"/>
      <c r="S20" s="313"/>
      <c r="T20" s="313">
        <f t="shared" si="3"/>
        <v>96.65627699539256</v>
      </c>
    </row>
    <row r="21" spans="1:20" s="49" customFormat="1" ht="45" customHeight="1">
      <c r="A21" s="182">
        <v>8</v>
      </c>
      <c r="B21" s="182" t="s">
        <v>273</v>
      </c>
      <c r="C21" s="181">
        <f>'[2]55. ND 31. Chi DTXD don vi'!C21</f>
        <v>860.302</v>
      </c>
      <c r="D21" s="313">
        <f t="shared" si="2"/>
        <v>860.144</v>
      </c>
      <c r="E21" s="313"/>
      <c r="F21" s="313"/>
      <c r="G21" s="313"/>
      <c r="H21" s="313"/>
      <c r="I21" s="313"/>
      <c r="J21" s="313">
        <v>860.144</v>
      </c>
      <c r="K21" s="313"/>
      <c r="L21" s="313"/>
      <c r="M21" s="313"/>
      <c r="N21" s="313"/>
      <c r="O21" s="313"/>
      <c r="P21" s="313"/>
      <c r="Q21" s="313"/>
      <c r="R21" s="313"/>
      <c r="S21" s="313"/>
      <c r="T21" s="313">
        <f t="shared" si="3"/>
        <v>99.98163435630744</v>
      </c>
    </row>
    <row r="22" spans="1:20" s="49" customFormat="1" ht="37.5" customHeight="1">
      <c r="A22" s="182">
        <v>9</v>
      </c>
      <c r="B22" s="182" t="s">
        <v>274</v>
      </c>
      <c r="C22" s="181">
        <f>'[2]55. ND 31. Chi DTXD don vi'!C22</f>
        <v>3000</v>
      </c>
      <c r="D22" s="313">
        <f t="shared" si="2"/>
        <v>2940.99</v>
      </c>
      <c r="E22" s="313"/>
      <c r="F22" s="313"/>
      <c r="G22" s="313"/>
      <c r="H22" s="313">
        <v>2940.99</v>
      </c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>
        <f t="shared" si="3"/>
        <v>98.03299999999999</v>
      </c>
    </row>
    <row r="23" spans="1:20" s="49" customFormat="1" ht="48.75" customHeight="1">
      <c r="A23" s="182">
        <v>10</v>
      </c>
      <c r="B23" s="182" t="s">
        <v>275</v>
      </c>
      <c r="C23" s="181">
        <f>'[2]55. ND 31. Chi DTXD don vi'!C23</f>
        <v>140</v>
      </c>
      <c r="D23" s="313">
        <f t="shared" si="2"/>
        <v>140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>
        <v>140</v>
      </c>
      <c r="S23" s="313"/>
      <c r="T23" s="313">
        <f t="shared" si="3"/>
        <v>100</v>
      </c>
    </row>
    <row r="24" spans="1:20" s="49" customFormat="1" ht="48.75" customHeight="1">
      <c r="A24" s="182">
        <v>11</v>
      </c>
      <c r="B24" s="182" t="s">
        <v>265</v>
      </c>
      <c r="C24" s="181">
        <f>'[2]55. ND 31. Chi DTXD don vi'!C24</f>
        <v>1809.637</v>
      </c>
      <c r="D24" s="313">
        <f t="shared" si="2"/>
        <v>1795.868</v>
      </c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>
        <v>1795.868</v>
      </c>
      <c r="R24" s="313"/>
      <c r="S24" s="317"/>
      <c r="T24" s="313">
        <f t="shared" si="3"/>
        <v>99.23912917341985</v>
      </c>
    </row>
    <row r="25" spans="1:20" s="49" customFormat="1" ht="60.75" customHeight="1">
      <c r="A25" s="318">
        <v>12</v>
      </c>
      <c r="B25" s="319" t="s">
        <v>276</v>
      </c>
      <c r="C25" s="320">
        <f>'[2]55. ND 31. Chi DTXD don vi'!C25</f>
        <v>278982.91394999996</v>
      </c>
      <c r="D25" s="321">
        <f t="shared" si="2"/>
        <v>40990.441578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>
        <v>40990.441578</v>
      </c>
      <c r="O25" s="322"/>
      <c r="P25" s="322"/>
      <c r="Q25" s="322"/>
      <c r="R25" s="322"/>
      <c r="S25" s="322"/>
      <c r="T25" s="321">
        <f t="shared" si="3"/>
        <v>14.692814336775625</v>
      </c>
    </row>
    <row r="26" spans="1:20" ht="39" customHeight="1">
      <c r="A26" s="169" t="s">
        <v>55</v>
      </c>
      <c r="B26" s="50" t="s">
        <v>249</v>
      </c>
      <c r="C26" s="224">
        <f>'[2]55. ND 31. Chi DTXD don vi'!C26</f>
        <v>179669.383659</v>
      </c>
      <c r="D26" s="170">
        <f>SUM(E26:N26)+Q26+R26+S26</f>
        <v>129949.462374</v>
      </c>
      <c r="E26" s="170">
        <v>19542.124185</v>
      </c>
      <c r="F26" s="170">
        <f>SUM(F27:F46)</f>
        <v>0</v>
      </c>
      <c r="G26" s="170"/>
      <c r="H26" s="170">
        <v>992.974</v>
      </c>
      <c r="I26" s="170">
        <v>467.944</v>
      </c>
      <c r="J26" s="170">
        <v>2263.1713</v>
      </c>
      <c r="K26" s="170">
        <v>161.47443</v>
      </c>
      <c r="L26" s="170">
        <v>1299.665</v>
      </c>
      <c r="M26" s="170">
        <v>306.96</v>
      </c>
      <c r="N26" s="170">
        <v>84482.453649</v>
      </c>
      <c r="O26" s="170">
        <v>53473.329883</v>
      </c>
      <c r="P26" s="170">
        <v>24635.303295</v>
      </c>
      <c r="Q26" s="170">
        <v>15289.3011</v>
      </c>
      <c r="R26" s="170">
        <v>5143.39471</v>
      </c>
      <c r="S26" s="170">
        <f>SUM(S27:S46)</f>
        <v>0</v>
      </c>
      <c r="T26" s="170">
        <f>D26/C26*100</f>
        <v>72.32699290639023</v>
      </c>
    </row>
    <row r="27" spans="1:20" s="117" customFormat="1" ht="8.25" customHeight="1" hidden="1">
      <c r="A27" s="116">
        <v>1</v>
      </c>
      <c r="B27" s="25" t="s">
        <v>228</v>
      </c>
      <c r="C27" s="118">
        <f>+D27+V27</f>
        <v>4900.64</v>
      </c>
      <c r="D27" s="119">
        <f aca="true" t="shared" si="4" ref="D27:D46">+E27+G27+H27+I27+J27+L27+M27+N27+Q27+R27+S27</f>
        <v>4900.64</v>
      </c>
      <c r="E27" s="119">
        <v>998.719</v>
      </c>
      <c r="F27" s="119"/>
      <c r="G27" s="119"/>
      <c r="H27" s="119"/>
      <c r="I27" s="119"/>
      <c r="J27" s="119">
        <v>136.939</v>
      </c>
      <c r="K27" s="119"/>
      <c r="L27" s="119">
        <v>60</v>
      </c>
      <c r="M27" s="119"/>
      <c r="N27" s="119">
        <v>3654.982</v>
      </c>
      <c r="O27" s="119">
        <v>1357.139</v>
      </c>
      <c r="P27" s="119">
        <v>2151.918</v>
      </c>
      <c r="Q27" s="119">
        <v>50</v>
      </c>
      <c r="R27" s="119"/>
      <c r="S27" s="120"/>
      <c r="T27" s="121">
        <f>+D27/C27</f>
        <v>1</v>
      </c>
    </row>
    <row r="28" spans="1:20" s="117" customFormat="1" ht="8.25" customHeight="1" hidden="1">
      <c r="A28" s="116">
        <v>2</v>
      </c>
      <c r="B28" s="25" t="s">
        <v>224</v>
      </c>
      <c r="C28" s="118">
        <f aca="true" t="shared" si="5" ref="C28:C46">+D28+V28</f>
        <v>6017.150097</v>
      </c>
      <c r="D28" s="119">
        <f t="shared" si="4"/>
        <v>6017.150097</v>
      </c>
      <c r="E28" s="119">
        <v>319.283679</v>
      </c>
      <c r="F28" s="119"/>
      <c r="G28" s="119"/>
      <c r="H28" s="119"/>
      <c r="I28" s="119"/>
      <c r="J28" s="119"/>
      <c r="K28" s="119"/>
      <c r="L28" s="119"/>
      <c r="M28" s="119"/>
      <c r="N28" s="119">
        <v>5336.677809</v>
      </c>
      <c r="O28" s="119">
        <v>2329.93785</v>
      </c>
      <c r="P28" s="119">
        <v>2566.739959</v>
      </c>
      <c r="Q28" s="119">
        <v>338.344</v>
      </c>
      <c r="R28" s="119">
        <v>22.844609</v>
      </c>
      <c r="S28" s="120"/>
      <c r="T28" s="121">
        <f aca="true" t="shared" si="6" ref="T28:T46">+D28/C28</f>
        <v>1</v>
      </c>
    </row>
    <row r="29" spans="1:20" s="117" customFormat="1" ht="8.25" customHeight="1" hidden="1">
      <c r="A29" s="116">
        <v>3</v>
      </c>
      <c r="B29" s="25" t="s">
        <v>229</v>
      </c>
      <c r="C29" s="118">
        <f t="shared" si="5"/>
        <v>6237.85</v>
      </c>
      <c r="D29" s="119">
        <f t="shared" si="4"/>
        <v>6237.85</v>
      </c>
      <c r="E29" s="119">
        <v>2618.252</v>
      </c>
      <c r="F29" s="119"/>
      <c r="G29" s="119"/>
      <c r="H29" s="119"/>
      <c r="I29" s="119"/>
      <c r="J29" s="119">
        <v>35.045</v>
      </c>
      <c r="K29" s="119"/>
      <c r="L29" s="119"/>
      <c r="M29" s="119"/>
      <c r="N29" s="119">
        <v>2713.341</v>
      </c>
      <c r="O29" s="119">
        <v>1655.252</v>
      </c>
      <c r="P29" s="119">
        <v>1028.141</v>
      </c>
      <c r="Q29" s="119">
        <v>426.091</v>
      </c>
      <c r="R29" s="119">
        <v>445.121</v>
      </c>
      <c r="S29" s="120"/>
      <c r="T29" s="121">
        <f t="shared" si="6"/>
        <v>1</v>
      </c>
    </row>
    <row r="30" spans="1:20" s="117" customFormat="1" ht="8.25" customHeight="1" hidden="1">
      <c r="A30" s="116">
        <v>4</v>
      </c>
      <c r="B30" s="25" t="s">
        <v>230</v>
      </c>
      <c r="C30" s="118">
        <f t="shared" si="5"/>
        <v>3439.657412</v>
      </c>
      <c r="D30" s="119">
        <f t="shared" si="4"/>
        <v>3439.657412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>
        <v>1654.505412</v>
      </c>
      <c r="O30" s="119">
        <v>1019.661</v>
      </c>
      <c r="P30" s="119">
        <v>591.602239</v>
      </c>
      <c r="Q30" s="119">
        <v>1785.152</v>
      </c>
      <c r="R30" s="119"/>
      <c r="S30" s="120"/>
      <c r="T30" s="121">
        <f t="shared" si="6"/>
        <v>1</v>
      </c>
    </row>
    <row r="31" spans="1:20" s="117" customFormat="1" ht="8.25" customHeight="1" hidden="1">
      <c r="A31" s="116">
        <v>5</v>
      </c>
      <c r="B31" s="25" t="s">
        <v>226</v>
      </c>
      <c r="C31" s="118">
        <f t="shared" si="5"/>
        <v>5081.081</v>
      </c>
      <c r="D31" s="119">
        <f t="shared" si="4"/>
        <v>5081.081</v>
      </c>
      <c r="E31" s="119">
        <v>280</v>
      </c>
      <c r="F31" s="119"/>
      <c r="G31" s="119"/>
      <c r="H31" s="119"/>
      <c r="I31" s="119"/>
      <c r="J31" s="119">
        <v>735.065</v>
      </c>
      <c r="K31" s="119"/>
      <c r="L31" s="119"/>
      <c r="M31" s="119"/>
      <c r="N31" s="119">
        <v>3418.715</v>
      </c>
      <c r="O31" s="119">
        <v>3229.999</v>
      </c>
      <c r="P31" s="119">
        <v>188.716</v>
      </c>
      <c r="Q31" s="119">
        <v>237.704</v>
      </c>
      <c r="R31" s="119">
        <v>409.597</v>
      </c>
      <c r="S31" s="120"/>
      <c r="T31" s="121">
        <f t="shared" si="6"/>
        <v>1</v>
      </c>
    </row>
    <row r="32" spans="1:20" s="117" customFormat="1" ht="8.25" customHeight="1" hidden="1">
      <c r="A32" s="116">
        <v>6</v>
      </c>
      <c r="B32" s="25" t="s">
        <v>231</v>
      </c>
      <c r="C32" s="118">
        <f t="shared" si="5"/>
        <v>2972.3130279999996</v>
      </c>
      <c r="D32" s="119">
        <f t="shared" si="4"/>
        <v>2972.3130279999996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>
        <v>1755.5845</v>
      </c>
      <c r="O32" s="119">
        <v>1205.3235</v>
      </c>
      <c r="P32" s="119">
        <v>385.316</v>
      </c>
      <c r="Q32" s="119">
        <v>1156.606</v>
      </c>
      <c r="R32" s="119">
        <v>60.122528</v>
      </c>
      <c r="S32" s="120"/>
      <c r="T32" s="121">
        <f t="shared" si="6"/>
        <v>1</v>
      </c>
    </row>
    <row r="33" spans="1:20" s="117" customFormat="1" ht="8.25" customHeight="1" hidden="1">
      <c r="A33" s="116">
        <v>7</v>
      </c>
      <c r="B33" s="25" t="s">
        <v>232</v>
      </c>
      <c r="C33" s="118">
        <f t="shared" si="5"/>
        <v>18106.670000000002</v>
      </c>
      <c r="D33" s="119">
        <f t="shared" si="4"/>
        <v>18106.670000000002</v>
      </c>
      <c r="E33" s="119">
        <v>4500.671</v>
      </c>
      <c r="F33" s="119"/>
      <c r="G33" s="119"/>
      <c r="H33" s="119"/>
      <c r="I33" s="119"/>
      <c r="J33" s="119">
        <v>774.279</v>
      </c>
      <c r="K33" s="119"/>
      <c r="L33" s="119"/>
      <c r="M33" s="119"/>
      <c r="N33" s="119">
        <v>11687.357</v>
      </c>
      <c r="O33" s="119">
        <v>8680.268</v>
      </c>
      <c r="P33" s="119">
        <v>822.99</v>
      </c>
      <c r="Q33" s="119">
        <v>700.149</v>
      </c>
      <c r="R33" s="119">
        <v>444.214</v>
      </c>
      <c r="S33" s="120"/>
      <c r="T33" s="121">
        <f t="shared" si="6"/>
        <v>1</v>
      </c>
    </row>
    <row r="34" spans="1:20" s="117" customFormat="1" ht="8.25" customHeight="1" hidden="1">
      <c r="A34" s="116">
        <v>8</v>
      </c>
      <c r="B34" s="25" t="s">
        <v>233</v>
      </c>
      <c r="C34" s="118">
        <f t="shared" si="5"/>
        <v>4680.20285</v>
      </c>
      <c r="D34" s="119">
        <f t="shared" si="4"/>
        <v>4680.20285</v>
      </c>
      <c r="E34" s="119">
        <v>1553.96735</v>
      </c>
      <c r="F34" s="119"/>
      <c r="G34" s="119"/>
      <c r="H34" s="119"/>
      <c r="I34" s="119"/>
      <c r="J34" s="119">
        <v>315.6276</v>
      </c>
      <c r="K34" s="119"/>
      <c r="L34" s="119"/>
      <c r="M34" s="119"/>
      <c r="N34" s="119">
        <v>2001.678</v>
      </c>
      <c r="O34" s="119">
        <v>1626.887</v>
      </c>
      <c r="P34" s="119">
        <v>228.99</v>
      </c>
      <c r="Q34" s="119">
        <v>808.9299</v>
      </c>
      <c r="R34" s="119"/>
      <c r="S34" s="120"/>
      <c r="T34" s="121">
        <f t="shared" si="6"/>
        <v>1</v>
      </c>
    </row>
    <row r="35" spans="1:20" s="117" customFormat="1" ht="8.25" customHeight="1" hidden="1">
      <c r="A35" s="116">
        <v>9</v>
      </c>
      <c r="B35" s="25" t="s">
        <v>234</v>
      </c>
      <c r="C35" s="118">
        <f t="shared" si="5"/>
        <v>5261.040427</v>
      </c>
      <c r="D35" s="119">
        <f t="shared" si="4"/>
        <v>5261.040427</v>
      </c>
      <c r="E35" s="119">
        <v>1734.5005</v>
      </c>
      <c r="F35" s="119"/>
      <c r="G35" s="119"/>
      <c r="H35" s="119"/>
      <c r="I35" s="119"/>
      <c r="J35" s="119"/>
      <c r="K35" s="119"/>
      <c r="L35" s="119">
        <v>116.843</v>
      </c>
      <c r="M35" s="119"/>
      <c r="N35" s="119">
        <v>2646.651927</v>
      </c>
      <c r="O35" s="119">
        <v>2399.801</v>
      </c>
      <c r="P35" s="119">
        <v>246.850927</v>
      </c>
      <c r="Q35" s="119">
        <v>763.045</v>
      </c>
      <c r="R35" s="119"/>
      <c r="S35" s="120"/>
      <c r="T35" s="121">
        <f t="shared" si="6"/>
        <v>1</v>
      </c>
    </row>
    <row r="36" spans="1:20" s="117" customFormat="1" ht="8.25" customHeight="1" hidden="1">
      <c r="A36" s="116">
        <v>10</v>
      </c>
      <c r="B36" s="25" t="s">
        <v>235</v>
      </c>
      <c r="C36" s="118">
        <f t="shared" si="5"/>
        <v>8070.993741</v>
      </c>
      <c r="D36" s="119">
        <f t="shared" si="4"/>
        <v>8070.993741</v>
      </c>
      <c r="E36" s="119">
        <v>1776.439</v>
      </c>
      <c r="F36" s="119"/>
      <c r="G36" s="119"/>
      <c r="H36" s="119"/>
      <c r="I36" s="119"/>
      <c r="J36" s="119"/>
      <c r="K36" s="119"/>
      <c r="L36" s="119"/>
      <c r="M36" s="119"/>
      <c r="N36" s="119">
        <v>5181.529741</v>
      </c>
      <c r="O36" s="119">
        <v>4560.355173</v>
      </c>
      <c r="P36" s="119">
        <v>621.174568</v>
      </c>
      <c r="Q36" s="119">
        <v>1113.025</v>
      </c>
      <c r="R36" s="119"/>
      <c r="S36" s="120"/>
      <c r="T36" s="121">
        <f t="shared" si="6"/>
        <v>1</v>
      </c>
    </row>
    <row r="37" spans="1:20" s="171" customFormat="1" ht="8.25" customHeight="1" hidden="1">
      <c r="A37" s="111">
        <v>11</v>
      </c>
      <c r="B37" s="25" t="s">
        <v>236</v>
      </c>
      <c r="C37" s="118">
        <f t="shared" si="5"/>
        <v>8613.8986</v>
      </c>
      <c r="D37" s="119">
        <f t="shared" si="4"/>
        <v>8613.8986</v>
      </c>
      <c r="E37" s="119">
        <v>2733.083</v>
      </c>
      <c r="F37" s="119"/>
      <c r="G37" s="119">
        <v>504.59</v>
      </c>
      <c r="H37" s="119"/>
      <c r="I37" s="119">
        <v>129.923</v>
      </c>
      <c r="J37" s="119"/>
      <c r="K37" s="119"/>
      <c r="L37" s="119">
        <v>918.532</v>
      </c>
      <c r="M37" s="119"/>
      <c r="N37" s="119">
        <v>3174.6936</v>
      </c>
      <c r="O37" s="119">
        <v>2032.7746</v>
      </c>
      <c r="P37" s="119">
        <v>1001.667</v>
      </c>
      <c r="Q37" s="119">
        <v>1153.077</v>
      </c>
      <c r="R37" s="119"/>
      <c r="S37" s="120"/>
      <c r="T37" s="121">
        <f t="shared" si="6"/>
        <v>1</v>
      </c>
    </row>
    <row r="38" spans="1:20" s="117" customFormat="1" ht="8.25" customHeight="1" hidden="1">
      <c r="A38" s="116">
        <v>12</v>
      </c>
      <c r="B38" s="25" t="s">
        <v>237</v>
      </c>
      <c r="C38" s="118">
        <f t="shared" si="5"/>
        <v>6308.071</v>
      </c>
      <c r="D38" s="119">
        <f t="shared" si="4"/>
        <v>6308.071</v>
      </c>
      <c r="E38" s="122">
        <v>1966.305</v>
      </c>
      <c r="F38" s="119"/>
      <c r="G38" s="119"/>
      <c r="H38" s="119"/>
      <c r="I38" s="119"/>
      <c r="J38" s="119"/>
      <c r="K38" s="119"/>
      <c r="L38" s="119"/>
      <c r="M38" s="119"/>
      <c r="N38" s="119">
        <v>3890.062</v>
      </c>
      <c r="O38" s="119">
        <v>2569.904</v>
      </c>
      <c r="P38" s="119">
        <v>411.398</v>
      </c>
      <c r="Q38" s="119">
        <v>184.5</v>
      </c>
      <c r="R38" s="119">
        <v>267.204</v>
      </c>
      <c r="S38" s="120"/>
      <c r="T38" s="121">
        <f t="shared" si="6"/>
        <v>1</v>
      </c>
    </row>
    <row r="39" spans="1:20" s="117" customFormat="1" ht="8.25" customHeight="1" hidden="1">
      <c r="A39" s="116">
        <v>13</v>
      </c>
      <c r="B39" s="25" t="s">
        <v>238</v>
      </c>
      <c r="C39" s="118">
        <f t="shared" si="5"/>
        <v>6148.533033</v>
      </c>
      <c r="D39" s="119">
        <f t="shared" si="4"/>
        <v>6148.533033</v>
      </c>
      <c r="E39" s="119">
        <v>1892.89</v>
      </c>
      <c r="F39" s="119"/>
      <c r="G39" s="119"/>
      <c r="H39" s="119"/>
      <c r="I39" s="119">
        <v>242.207733</v>
      </c>
      <c r="J39" s="119"/>
      <c r="K39" s="119"/>
      <c r="L39" s="119">
        <v>303.107</v>
      </c>
      <c r="M39" s="119"/>
      <c r="N39" s="119">
        <v>1835.3783</v>
      </c>
      <c r="O39" s="119">
        <v>1454.7623</v>
      </c>
      <c r="P39" s="119">
        <v>350.616</v>
      </c>
      <c r="Q39" s="119">
        <v>1874.95</v>
      </c>
      <c r="R39" s="119"/>
      <c r="S39" s="120"/>
      <c r="T39" s="121">
        <f t="shared" si="6"/>
        <v>1</v>
      </c>
    </row>
    <row r="40" spans="1:20" s="117" customFormat="1" ht="8.25" customHeight="1" hidden="1">
      <c r="A40" s="116">
        <v>14</v>
      </c>
      <c r="B40" s="25" t="s">
        <v>239</v>
      </c>
      <c r="C40" s="118">
        <f t="shared" si="5"/>
        <v>3414.9049999999997</v>
      </c>
      <c r="D40" s="119">
        <f t="shared" si="4"/>
        <v>3414.9049999999997</v>
      </c>
      <c r="E40" s="119">
        <v>1636</v>
      </c>
      <c r="F40" s="119"/>
      <c r="G40" s="119"/>
      <c r="H40" s="119"/>
      <c r="I40" s="119"/>
      <c r="J40" s="119">
        <v>133</v>
      </c>
      <c r="K40" s="119"/>
      <c r="L40" s="119">
        <v>200.593</v>
      </c>
      <c r="M40" s="119"/>
      <c r="N40" s="119">
        <v>1445.312</v>
      </c>
      <c r="O40" s="119">
        <v>1084.488</v>
      </c>
      <c r="P40" s="119">
        <v>360.824</v>
      </c>
      <c r="Q40" s="119"/>
      <c r="R40" s="119"/>
      <c r="S40" s="120"/>
      <c r="T40" s="121">
        <f t="shared" si="6"/>
        <v>1</v>
      </c>
    </row>
    <row r="41" spans="1:20" s="117" customFormat="1" ht="8.25" customHeight="1" hidden="1">
      <c r="A41" s="116">
        <v>15</v>
      </c>
      <c r="B41" s="25" t="s">
        <v>240</v>
      </c>
      <c r="C41" s="118">
        <f t="shared" si="5"/>
        <v>1839.8511179999998</v>
      </c>
      <c r="D41" s="119">
        <f t="shared" si="4"/>
        <v>1839.8511179999998</v>
      </c>
      <c r="E41" s="119">
        <v>549.688118</v>
      </c>
      <c r="F41" s="119"/>
      <c r="G41" s="119"/>
      <c r="H41" s="119"/>
      <c r="I41" s="119"/>
      <c r="J41" s="119"/>
      <c r="K41" s="119"/>
      <c r="L41" s="119"/>
      <c r="M41" s="119">
        <v>245</v>
      </c>
      <c r="N41" s="119">
        <v>973.709</v>
      </c>
      <c r="O41" s="119">
        <v>265.629</v>
      </c>
      <c r="P41" s="119">
        <v>240.08</v>
      </c>
      <c r="Q41" s="119"/>
      <c r="R41" s="119">
        <v>71.454</v>
      </c>
      <c r="S41" s="120"/>
      <c r="T41" s="121">
        <f t="shared" si="6"/>
        <v>1</v>
      </c>
    </row>
    <row r="42" spans="1:20" s="117" customFormat="1" ht="8.25" customHeight="1" hidden="1">
      <c r="A42" s="116">
        <v>16</v>
      </c>
      <c r="B42" s="25" t="s">
        <v>241</v>
      </c>
      <c r="C42" s="118">
        <f t="shared" si="5"/>
        <v>4311.926297</v>
      </c>
      <c r="D42" s="119">
        <f t="shared" si="4"/>
        <v>4311.926297</v>
      </c>
      <c r="E42" s="119">
        <v>1739.448347</v>
      </c>
      <c r="F42" s="119"/>
      <c r="G42" s="119"/>
      <c r="H42" s="119"/>
      <c r="I42" s="119"/>
      <c r="J42" s="119"/>
      <c r="K42" s="119"/>
      <c r="L42" s="119"/>
      <c r="M42" s="119"/>
      <c r="N42" s="119">
        <v>2572.47795</v>
      </c>
      <c r="O42" s="119">
        <v>2024.6226</v>
      </c>
      <c r="P42" s="119">
        <v>547.85535</v>
      </c>
      <c r="Q42" s="119"/>
      <c r="R42" s="119"/>
      <c r="S42" s="120"/>
      <c r="T42" s="121">
        <f t="shared" si="6"/>
        <v>1</v>
      </c>
    </row>
    <row r="43" spans="1:20" s="117" customFormat="1" ht="8.25" customHeight="1" hidden="1">
      <c r="A43" s="116">
        <v>17</v>
      </c>
      <c r="B43" s="25" t="s">
        <v>242</v>
      </c>
      <c r="C43" s="118">
        <f t="shared" si="5"/>
        <v>2119.612</v>
      </c>
      <c r="D43" s="119">
        <f t="shared" si="4"/>
        <v>2119.612</v>
      </c>
      <c r="E43" s="119">
        <v>1322</v>
      </c>
      <c r="F43" s="119"/>
      <c r="G43" s="119"/>
      <c r="H43" s="119"/>
      <c r="I43" s="119"/>
      <c r="J43" s="119"/>
      <c r="K43" s="119"/>
      <c r="L43" s="119"/>
      <c r="M43" s="119"/>
      <c r="N43" s="119">
        <v>797.612</v>
      </c>
      <c r="O43" s="119">
        <v>424.432</v>
      </c>
      <c r="P43" s="119">
        <v>373.18</v>
      </c>
      <c r="Q43" s="119"/>
      <c r="R43" s="119"/>
      <c r="S43" s="120"/>
      <c r="T43" s="121">
        <f t="shared" si="6"/>
        <v>1</v>
      </c>
    </row>
    <row r="44" spans="1:20" s="117" customFormat="1" ht="8.25" customHeight="1" hidden="1">
      <c r="A44" s="116">
        <v>18</v>
      </c>
      <c r="B44" s="25" t="s">
        <v>243</v>
      </c>
      <c r="C44" s="118">
        <f t="shared" si="5"/>
        <v>5350.336529</v>
      </c>
      <c r="D44" s="119">
        <f t="shared" si="4"/>
        <v>5350.336529</v>
      </c>
      <c r="E44" s="119">
        <v>1758.065729</v>
      </c>
      <c r="F44" s="119"/>
      <c r="G44" s="119"/>
      <c r="H44" s="119"/>
      <c r="I44" s="119"/>
      <c r="J44" s="119"/>
      <c r="K44" s="119"/>
      <c r="L44" s="119"/>
      <c r="M44" s="119"/>
      <c r="N44" s="119">
        <v>3548.0388</v>
      </c>
      <c r="O44" s="119">
        <v>624.7009</v>
      </c>
      <c r="P44" s="119">
        <v>1483.3799</v>
      </c>
      <c r="Q44" s="119">
        <v>44.232</v>
      </c>
      <c r="R44" s="119"/>
      <c r="S44" s="120"/>
      <c r="T44" s="121">
        <f t="shared" si="6"/>
        <v>1</v>
      </c>
    </row>
    <row r="45" spans="1:20" s="117" customFormat="1" ht="8.25" customHeight="1" hidden="1">
      <c r="A45" s="116">
        <v>19</v>
      </c>
      <c r="B45" s="25" t="s">
        <v>244</v>
      </c>
      <c r="C45" s="118">
        <f t="shared" si="5"/>
        <v>9402.509119</v>
      </c>
      <c r="D45" s="119">
        <f t="shared" si="4"/>
        <v>9402.509119</v>
      </c>
      <c r="E45" s="119">
        <v>1418.328</v>
      </c>
      <c r="F45" s="119"/>
      <c r="G45" s="119"/>
      <c r="H45" s="119"/>
      <c r="I45" s="119"/>
      <c r="J45" s="119">
        <v>500</v>
      </c>
      <c r="K45" s="119"/>
      <c r="L45" s="119"/>
      <c r="M45" s="119"/>
      <c r="N45" s="119">
        <v>7364.093119</v>
      </c>
      <c r="O45" s="119">
        <v>7269.643119</v>
      </c>
      <c r="P45" s="119"/>
      <c r="Q45" s="119">
        <v>120.088</v>
      </c>
      <c r="R45" s="119"/>
      <c r="S45" s="120"/>
      <c r="T45" s="121">
        <f t="shared" si="6"/>
        <v>1</v>
      </c>
    </row>
    <row r="46" spans="1:20" s="117" customFormat="1" ht="8.25" customHeight="1" hidden="1">
      <c r="A46" s="116">
        <v>20</v>
      </c>
      <c r="B46" s="25" t="s">
        <v>245</v>
      </c>
      <c r="C46" s="118">
        <f t="shared" si="5"/>
        <v>5914.50965</v>
      </c>
      <c r="D46" s="119">
        <f t="shared" si="4"/>
        <v>5914.50965</v>
      </c>
      <c r="E46" s="119">
        <v>2327.191</v>
      </c>
      <c r="F46" s="119"/>
      <c r="G46" s="119"/>
      <c r="H46" s="119"/>
      <c r="I46" s="119"/>
      <c r="J46" s="119"/>
      <c r="K46" s="119"/>
      <c r="L46" s="119"/>
      <c r="M46" s="119"/>
      <c r="N46" s="119">
        <v>2506.06965</v>
      </c>
      <c r="O46" s="119">
        <v>2137.59065</v>
      </c>
      <c r="P46" s="119">
        <v>368.479</v>
      </c>
      <c r="Q46" s="119"/>
      <c r="R46" s="119">
        <v>1081.249</v>
      </c>
      <c r="S46" s="120"/>
      <c r="T46" s="121">
        <f t="shared" si="6"/>
        <v>1</v>
      </c>
    </row>
  </sheetData>
  <sheetProtection/>
  <mergeCells count="27">
    <mergeCell ref="Q2:T3"/>
    <mergeCell ref="Q7:T7"/>
    <mergeCell ref="I9:I10"/>
    <mergeCell ref="F9:F10"/>
    <mergeCell ref="Q9:Q10"/>
    <mergeCell ref="R9:R10"/>
    <mergeCell ref="S9:S10"/>
    <mergeCell ref="E9:E10"/>
    <mergeCell ref="A5:T5"/>
    <mergeCell ref="A6:T6"/>
    <mergeCell ref="A8:A10"/>
    <mergeCell ref="B8:B10"/>
    <mergeCell ref="C8:C10"/>
    <mergeCell ref="D8:S8"/>
    <mergeCell ref="D9:D10"/>
    <mergeCell ref="J9:J10"/>
    <mergeCell ref="M9:M10"/>
    <mergeCell ref="A1:B1"/>
    <mergeCell ref="G9:G10"/>
    <mergeCell ref="N9:N10"/>
    <mergeCell ref="K9:K10"/>
    <mergeCell ref="H9:H10"/>
    <mergeCell ref="Q1:T1"/>
    <mergeCell ref="O9:P9"/>
    <mergeCell ref="T8:T10"/>
    <mergeCell ref="A2:B2"/>
    <mergeCell ref="L9:L10"/>
  </mergeCells>
  <printOptions/>
  <pageMargins left="0.26" right="0.2" top="0.98" bottom="0.82" header="0.3" footer="0.52"/>
  <pageSetup horizontalDpi="600" verticalDpi="600" orientation="landscape" paperSize="9" scale="55" r:id="rId2"/>
  <headerFooter>
    <oddFooter>&amp;C&amp;14Trang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NguyenThiNga</dc:creator>
  <cp:keywords/>
  <dc:description/>
  <cp:lastModifiedBy>Admin</cp:lastModifiedBy>
  <cp:lastPrinted>2020-08-20T03:17:27Z</cp:lastPrinted>
  <dcterms:created xsi:type="dcterms:W3CDTF">2017-09-28T03:09:11Z</dcterms:created>
  <dcterms:modified xsi:type="dcterms:W3CDTF">2020-08-21T08:23:03Z</dcterms:modified>
  <cp:category/>
  <cp:version/>
  <cp:contentType/>
  <cp:contentStatus/>
</cp:coreProperties>
</file>